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wmf" ContentType="image/x-w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jakubhonig/Downloads/"/>
    </mc:Choice>
  </mc:AlternateContent>
  <bookViews>
    <workbookView xWindow="0" yWindow="460" windowWidth="28800" windowHeight="16680" activeTab="5"/>
  </bookViews>
  <sheets>
    <sheet name="Nejistota typu A" sheetId="1" r:id="rId1"/>
    <sheet name="Opakovatelnost, reprodukovateln" sheetId="2" r:id="rId2"/>
    <sheet name="Citlivostní koeficienty" sheetId="3" r:id="rId3"/>
    <sheet name="Rozdělení pravděpodobnosti" sheetId="4" r:id="rId4"/>
    <sheet name="Drobnosti 1" sheetId="5" r:id="rId5"/>
    <sheet name="Drobnosti 2" sheetId="6" r:id="rId6"/>
  </sheets>
  <definedNames>
    <definedName name="Re">'Citlivostní koeficienty'!$B$5</definedName>
    <definedName name="Rm">'Citlivostní koeficienty'!$B$14</definedName>
    <definedName name="t_e">'Citlivostní koeficienty'!$B$11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7" i="4" l="1"/>
  <c r="E13" i="4"/>
  <c r="E9" i="4"/>
  <c r="E7" i="4"/>
  <c r="P19" i="4"/>
  <c r="Q19" i="4"/>
  <c r="R19" i="4"/>
  <c r="P18" i="4"/>
  <c r="Q18" i="4"/>
  <c r="R18" i="4"/>
  <c r="P17" i="4"/>
  <c r="Q17" i="4"/>
  <c r="R17" i="4"/>
  <c r="P16" i="4"/>
  <c r="Q16" i="4"/>
  <c r="R16" i="4"/>
  <c r="P15" i="4"/>
  <c r="Q15" i="4"/>
  <c r="R15" i="4"/>
  <c r="P14" i="4"/>
  <c r="Q14" i="4"/>
  <c r="R14" i="4"/>
  <c r="P13" i="4"/>
  <c r="Q13" i="4"/>
  <c r="R13" i="4"/>
  <c r="P12" i="4"/>
  <c r="Q12" i="4"/>
  <c r="R12" i="4"/>
  <c r="P11" i="4"/>
  <c r="Q11" i="4"/>
  <c r="R11" i="4"/>
  <c r="P10" i="4"/>
  <c r="Q10" i="4"/>
  <c r="R10" i="4"/>
  <c r="P9" i="4"/>
  <c r="Q9" i="4"/>
  <c r="R9" i="4"/>
  <c r="P8" i="4"/>
  <c r="Q8" i="4"/>
  <c r="R8" i="4"/>
  <c r="P7" i="4"/>
  <c r="Q7" i="4"/>
  <c r="R7" i="4"/>
  <c r="C25" i="2"/>
  <c r="L27" i="2"/>
  <c r="M27" i="2"/>
  <c r="C36" i="2"/>
  <c r="L29" i="2"/>
  <c r="M29" i="2"/>
  <c r="D36" i="2"/>
  <c r="E36" i="2"/>
  <c r="I15" i="2"/>
  <c r="C14" i="2"/>
  <c r="J15" i="2"/>
  <c r="A35" i="2"/>
  <c r="A34" i="2"/>
  <c r="A33" i="2"/>
  <c r="A32" i="2"/>
  <c r="A31" i="2"/>
  <c r="A30" i="2"/>
  <c r="A29" i="2"/>
  <c r="A13" i="2"/>
  <c r="A12" i="2"/>
  <c r="A11" i="2"/>
  <c r="A10" i="2"/>
  <c r="A9" i="2"/>
  <c r="A8" i="2"/>
  <c r="A7" i="2"/>
  <c r="D14" i="2"/>
  <c r="D25" i="2"/>
  <c r="E25" i="2"/>
  <c r="K7" i="2"/>
  <c r="K8" i="2"/>
  <c r="K9" i="2"/>
  <c r="K10" i="2"/>
  <c r="K11" i="2"/>
  <c r="K12" i="2"/>
  <c r="K13" i="2"/>
  <c r="K14" i="2"/>
  <c r="I7" i="2"/>
  <c r="I8" i="2"/>
  <c r="I9" i="2"/>
  <c r="I10" i="2"/>
  <c r="I11" i="2"/>
  <c r="I12" i="2"/>
  <c r="I13" i="2"/>
  <c r="I14" i="2"/>
  <c r="A24" i="2"/>
  <c r="E18" i="2"/>
  <c r="E19" i="2"/>
  <c r="E24" i="2"/>
  <c r="E23" i="2"/>
  <c r="E22" i="2"/>
  <c r="E21" i="2"/>
  <c r="E20" i="2"/>
  <c r="A18" i="2"/>
  <c r="A22" i="2"/>
  <c r="A20" i="2"/>
  <c r="A19" i="2"/>
  <c r="A23" i="2"/>
  <c r="A21" i="2"/>
  <c r="J14" i="2"/>
  <c r="L14" i="2"/>
  <c r="E14" i="2"/>
  <c r="F6" i="5"/>
  <c r="E40" i="1"/>
  <c r="E41" i="1"/>
  <c r="E42" i="1"/>
  <c r="E43" i="1"/>
  <c r="E44" i="1"/>
  <c r="F21" i="1"/>
  <c r="C21" i="1"/>
  <c r="C22" i="1"/>
  <c r="S23" i="6"/>
  <c r="S29" i="6"/>
  <c r="T28" i="6"/>
  <c r="W28" i="6"/>
  <c r="Z28" i="6"/>
  <c r="T27" i="6"/>
  <c r="V25" i="6"/>
  <c r="T25" i="6"/>
  <c r="W25" i="6"/>
  <c r="Z25" i="6"/>
  <c r="T24" i="6"/>
  <c r="V24" i="6"/>
  <c r="W24" i="6"/>
  <c r="Z24" i="6"/>
  <c r="V23" i="6"/>
  <c r="T23" i="6"/>
  <c r="V27" i="6"/>
  <c r="V19" i="6"/>
  <c r="T19" i="6"/>
  <c r="V18" i="6"/>
  <c r="T18" i="6"/>
  <c r="J18" i="6"/>
  <c r="K18" i="6"/>
  <c r="L17" i="6"/>
  <c r="M17" i="6"/>
  <c r="K22" i="6"/>
  <c r="D17" i="6"/>
  <c r="I17" i="6"/>
  <c r="N17" i="6"/>
  <c r="E17" i="6"/>
  <c r="T16" i="6"/>
  <c r="L16" i="6"/>
  <c r="M16" i="6"/>
  <c r="K21" i="6"/>
  <c r="E16" i="6"/>
  <c r="D16" i="6"/>
  <c r="I16" i="6"/>
  <c r="T14" i="6"/>
  <c r="T13" i="6"/>
  <c r="T12" i="6"/>
  <c r="S12" i="6"/>
  <c r="C23" i="6"/>
  <c r="C9" i="6"/>
  <c r="C7" i="6"/>
  <c r="J17" i="6"/>
  <c r="K17" i="6"/>
  <c r="W19" i="6"/>
  <c r="Z19" i="6"/>
  <c r="W23" i="6"/>
  <c r="Z23" i="6"/>
  <c r="J22" i="6"/>
  <c r="W27" i="6"/>
  <c r="Z27" i="6"/>
  <c r="W18" i="6"/>
  <c r="Z18" i="6"/>
  <c r="J29" i="6"/>
  <c r="K27" i="6"/>
  <c r="K29" i="6"/>
  <c r="L27" i="6"/>
  <c r="L29" i="6"/>
  <c r="J16" i="6"/>
  <c r="K16" i="6"/>
  <c r="I21" i="6"/>
  <c r="N16" i="6"/>
  <c r="J21" i="6"/>
  <c r="V26" i="6"/>
  <c r="W26" i="6"/>
  <c r="Z26" i="6"/>
  <c r="I22" i="6"/>
  <c r="D24" i="5"/>
  <c r="D11" i="5"/>
  <c r="D23" i="5"/>
  <c r="G23" i="5"/>
  <c r="I23" i="5"/>
  <c r="C23" i="5"/>
  <c r="C25" i="5"/>
  <c r="C10" i="5"/>
  <c r="J6" i="3"/>
  <c r="I6" i="3"/>
  <c r="H6" i="3"/>
  <c r="C9" i="1"/>
  <c r="J17" i="3"/>
  <c r="J18" i="3"/>
  <c r="O5" i="5"/>
  <c r="I11" i="3"/>
  <c r="I12" i="3"/>
  <c r="J11" i="3"/>
  <c r="J12" i="3"/>
  <c r="I8" i="1"/>
  <c r="J8" i="1"/>
  <c r="G8" i="1"/>
  <c r="H8" i="1"/>
  <c r="E8" i="1"/>
  <c r="F8" i="1"/>
  <c r="C8" i="1"/>
  <c r="D8" i="1"/>
  <c r="K8" i="1"/>
  <c r="B8" i="1"/>
  <c r="D10" i="5"/>
  <c r="G14" i="5"/>
  <c r="G15" i="5"/>
  <c r="K30" i="6"/>
  <c r="K28" i="6"/>
  <c r="K26" i="6"/>
  <c r="L30" i="6"/>
  <c r="L28" i="6"/>
  <c r="L26" i="6"/>
  <c r="J30" i="6"/>
  <c r="N25" i="6"/>
  <c r="L24" i="6"/>
  <c r="J25" i="6"/>
  <c r="J24" i="6"/>
  <c r="G24" i="5"/>
  <c r="I24" i="5"/>
  <c r="N5" i="5"/>
  <c r="N8" i="5"/>
  <c r="O8" i="5"/>
  <c r="M5" i="5"/>
  <c r="M8" i="5"/>
  <c r="C12" i="5"/>
  <c r="G25" i="5"/>
  <c r="G26" i="5"/>
  <c r="J7" i="3"/>
  <c r="J8" i="3"/>
  <c r="J13" i="3"/>
  <c r="J14" i="3"/>
  <c r="C10" i="1"/>
  <c r="C27" i="6"/>
  <c r="M28" i="6"/>
  <c r="N28" i="6"/>
  <c r="L25" i="6"/>
  <c r="C25" i="6"/>
  <c r="S20" i="6"/>
  <c r="O6" i="5"/>
  <c r="O7" i="5"/>
  <c r="L21" i="6"/>
  <c r="L22" i="6"/>
  <c r="M22" i="6"/>
  <c r="N22" i="6"/>
  <c r="S22" i="6"/>
  <c r="S30" i="6"/>
  <c r="AB15" i="6"/>
  <c r="AB16" i="6"/>
  <c r="AC15" i="6"/>
  <c r="AC16" i="6"/>
  <c r="AC17" i="6"/>
  <c r="V16" i="6"/>
  <c r="W16" i="6"/>
  <c r="Z16" i="6"/>
  <c r="V15" i="6"/>
  <c r="W15" i="6"/>
  <c r="Z15" i="6"/>
  <c r="V14" i="6"/>
  <c r="W14" i="6"/>
  <c r="Z14" i="6"/>
  <c r="V13" i="6"/>
  <c r="W13" i="6"/>
  <c r="Z13" i="6"/>
  <c r="V12" i="6"/>
  <c r="W12" i="6"/>
  <c r="Z12" i="6"/>
  <c r="F10" i="5"/>
  <c r="G10" i="5"/>
  <c r="I10" i="5"/>
  <c r="F11" i="5"/>
  <c r="G11" i="5"/>
  <c r="I11" i="5"/>
  <c r="L23" i="6"/>
  <c r="M23" i="6"/>
  <c r="N23" i="6"/>
  <c r="M21" i="6"/>
  <c r="N21" i="6"/>
  <c r="N24" i="6"/>
  <c r="N26" i="6"/>
  <c r="N27" i="6"/>
  <c r="C26" i="6"/>
  <c r="T17" i="6"/>
  <c r="W17" i="6"/>
  <c r="Z17" i="6"/>
  <c r="W20" i="6"/>
  <c r="T22" i="6"/>
  <c r="W22" i="6"/>
  <c r="Z22" i="6"/>
  <c r="W29" i="6"/>
  <c r="G12" i="5"/>
  <c r="G13" i="5"/>
  <c r="W30" i="6"/>
  <c r="W32" i="6"/>
  <c r="W33" i="6"/>
  <c r="X32" i="6"/>
  <c r="X33" i="6"/>
</calcChain>
</file>

<file path=xl/sharedStrings.xml><?xml version="1.0" encoding="utf-8"?>
<sst xmlns="http://schemas.openxmlformats.org/spreadsheetml/2006/main" count="261" uniqueCount="199">
  <si>
    <t>uA:</t>
  </si>
  <si>
    <t>Zadáno</t>
  </si>
  <si>
    <t>pro výpočet</t>
  </si>
  <si>
    <t>Pozor: nulové hodnoty jsou akceptovány !!!</t>
  </si>
  <si>
    <t>Pomocné</t>
  </si>
  <si>
    <t>Kalibrované měřidlo</t>
  </si>
  <si>
    <t>Počet měřeni:</t>
  </si>
  <si>
    <t>Střední hodnota výběru</t>
  </si>
  <si>
    <t>Součet čtverců odchylek datových bodů od jejich střední hodnoty výběru</t>
  </si>
  <si>
    <t>uA: (bez korekce)</t>
  </si>
  <si>
    <t>Použitý korekční koeficient:</t>
  </si>
  <si>
    <t>uA: (korigovaná hodnota)</t>
  </si>
  <si>
    <t>Korekční koeficient pro dvě opakovaná měření</t>
  </si>
  <si>
    <t>Korekční koeficient pro tři opakovaná měření</t>
  </si>
  <si>
    <t>Korekční koeficient pro čtyři opakovaná měření</t>
  </si>
  <si>
    <t>Korekční koeficient pro pět opakovaných měření</t>
  </si>
  <si>
    <t>Korekční koeficient pro šest opakovaných měření</t>
  </si>
  <si>
    <t>Korekční koeficient pro sedm opakovaných měření</t>
  </si>
  <si>
    <t>Korekční koeficient pro osm opakovaných měření</t>
  </si>
  <si>
    <t>Korekční koeficient pro devět opakovaných měření</t>
  </si>
  <si>
    <t>Korekční koeficient pro deset opakovaných měření (bez korekce)</t>
  </si>
  <si>
    <t xml:space="preserve"> </t>
  </si>
  <si>
    <t>Parametry etalonu - PT100:</t>
  </si>
  <si>
    <t>R0</t>
  </si>
  <si>
    <t>A</t>
  </si>
  <si>
    <t>B</t>
  </si>
  <si>
    <t>PT100</t>
  </si>
  <si>
    <t>PT500</t>
  </si>
  <si>
    <t>Konfigurace</t>
  </si>
  <si>
    <r>
      <t>Odhad x</t>
    </r>
    <r>
      <rPr>
        <vertAlign val="subscript"/>
        <sz val="10"/>
        <rFont val="Arial"/>
        <family val="2"/>
        <charset val="238"/>
      </rPr>
      <t>i</t>
    </r>
  </si>
  <si>
    <r>
      <t>u(x</t>
    </r>
    <r>
      <rPr>
        <vertAlign val="subscript"/>
        <sz val="10"/>
        <rFont val="Arial"/>
        <family val="2"/>
        <charset val="238"/>
      </rPr>
      <t>i</t>
    </r>
    <r>
      <rPr>
        <sz val="11"/>
        <color theme="1"/>
        <rFont val="Calibri"/>
        <family val="2"/>
        <charset val="238"/>
        <scheme val="minor"/>
      </rPr>
      <t>)</t>
    </r>
  </si>
  <si>
    <r>
      <t>c</t>
    </r>
    <r>
      <rPr>
        <vertAlign val="subscript"/>
        <sz val="10"/>
        <rFont val="Arial"/>
        <family val="2"/>
        <charset val="238"/>
      </rPr>
      <t>i</t>
    </r>
  </si>
  <si>
    <t>teplota 1</t>
  </si>
  <si>
    <t>Simulace PRT  [ohm]</t>
  </si>
  <si>
    <t>stab [ohm]</t>
  </si>
  <si>
    <r>
      <t>u</t>
    </r>
    <r>
      <rPr>
        <vertAlign val="subscript"/>
        <sz val="10"/>
        <rFont val="Arial"/>
        <family val="2"/>
        <charset val="238"/>
      </rPr>
      <t>i</t>
    </r>
    <r>
      <rPr>
        <sz val="11"/>
        <color theme="1"/>
        <rFont val="Calibri"/>
        <family val="2"/>
        <charset val="238"/>
        <scheme val="minor"/>
      </rPr>
      <t xml:space="preserve"> [deg C]</t>
    </r>
    <r>
      <rPr>
        <vertAlign val="superscript"/>
        <sz val="10"/>
        <rFont val="Arial"/>
        <family val="2"/>
        <charset val="238"/>
      </rPr>
      <t>2</t>
    </r>
  </si>
  <si>
    <t>[deg C]</t>
  </si>
  <si>
    <r>
      <t>u</t>
    </r>
    <r>
      <rPr>
        <vertAlign val="subscript"/>
        <sz val="10"/>
        <rFont val="Arial"/>
        <family val="2"/>
        <charset val="238"/>
      </rPr>
      <t>c</t>
    </r>
  </si>
  <si>
    <r>
      <t>U</t>
    </r>
    <r>
      <rPr>
        <vertAlign val="subscript"/>
        <sz val="10"/>
        <rFont val="Arial"/>
        <family val="2"/>
        <charset val="238"/>
      </rPr>
      <t>c</t>
    </r>
    <r>
      <rPr>
        <sz val="11"/>
        <color theme="1"/>
        <rFont val="Calibri"/>
        <family val="2"/>
        <charset val="238"/>
        <scheme val="minor"/>
      </rPr>
      <t xml:space="preserve"> (k=2)</t>
    </r>
  </si>
  <si>
    <t>[ohm]</t>
  </si>
  <si>
    <t>x10 kOhm</t>
  </si>
  <si>
    <t>x1 kOhm</t>
  </si>
  <si>
    <t>x100 Ohm</t>
  </si>
  <si>
    <t>x10 Ohm</t>
  </si>
  <si>
    <t>x1 Ohm</t>
  </si>
  <si>
    <t>x0.1 Ohm</t>
  </si>
  <si>
    <t>x0.01 Ohm</t>
  </si>
  <si>
    <t>Tolerance %</t>
  </si>
  <si>
    <r>
      <t>u</t>
    </r>
    <r>
      <rPr>
        <vertAlign val="subscript"/>
        <sz val="10"/>
        <rFont val="Arial"/>
        <family val="2"/>
        <charset val="238"/>
      </rPr>
      <t>i</t>
    </r>
    <r>
      <rPr>
        <sz val="11"/>
        <color theme="1"/>
        <rFont val="Calibri"/>
        <family val="2"/>
        <charset val="238"/>
        <scheme val="minor"/>
      </rPr>
      <t xml:space="preserve"> [ohm]</t>
    </r>
    <r>
      <rPr>
        <vertAlign val="superscript"/>
        <sz val="10"/>
        <rFont val="Arial"/>
        <family val="2"/>
        <charset val="238"/>
      </rPr>
      <t>2</t>
    </r>
  </si>
  <si>
    <t>Tolerance [ohm]</t>
  </si>
  <si>
    <t>Odpor pro kalibraci Ro  [ohm]</t>
  </si>
  <si>
    <t>t [deg C]</t>
  </si>
  <si>
    <t>Rdek [ohm]</t>
  </si>
  <si>
    <t>a</t>
  </si>
  <si>
    <t>b</t>
  </si>
  <si>
    <t>ITS-90</t>
  </si>
  <si>
    <t>Wr(T90)inp</t>
  </si>
  <si>
    <t>t90</t>
  </si>
  <si>
    <t>T90</t>
  </si>
  <si>
    <t>Wr</t>
  </si>
  <si>
    <r>
      <t>u</t>
    </r>
    <r>
      <rPr>
        <vertAlign val="subscript"/>
        <sz val="10"/>
        <rFont val="Arial"/>
        <family val="2"/>
        <charset val="238"/>
      </rPr>
      <t>i</t>
    </r>
    <r>
      <rPr>
        <sz val="11"/>
        <color theme="1"/>
        <rFont val="Calibri"/>
        <family val="2"/>
        <charset val="238"/>
        <scheme val="minor"/>
      </rPr>
      <t>(y)</t>
    </r>
  </si>
  <si>
    <r>
      <t>u</t>
    </r>
    <r>
      <rPr>
        <vertAlign val="subscript"/>
        <sz val="10"/>
        <rFont val="Arial"/>
        <family val="2"/>
        <charset val="238"/>
      </rPr>
      <t>i</t>
    </r>
    <r>
      <rPr>
        <vertAlign val="superscript"/>
        <sz val="10"/>
        <rFont val="Arial"/>
        <family val="2"/>
        <charset val="238"/>
      </rPr>
      <t>2</t>
    </r>
  </si>
  <si>
    <t>Pomocne vypocty</t>
  </si>
  <si>
    <t>t</t>
  </si>
  <si>
    <t>R</t>
  </si>
  <si>
    <t>uR</t>
  </si>
  <si>
    <t>W</t>
  </si>
  <si>
    <r>
      <t>u</t>
    </r>
    <r>
      <rPr>
        <vertAlign val="super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W(T)</t>
    </r>
  </si>
  <si>
    <t>uW(T)</t>
  </si>
  <si>
    <t>T</t>
  </si>
  <si>
    <t>W-1</t>
  </si>
  <si>
    <t>L</t>
  </si>
  <si>
    <t>Stabilita Rn pro Re [ohm]</t>
  </si>
  <si>
    <t>H</t>
  </si>
  <si>
    <t>Rtpw</t>
  </si>
  <si>
    <t>dW</t>
  </si>
  <si>
    <t>Wr-1</t>
  </si>
  <si>
    <r>
      <t>A</t>
    </r>
    <r>
      <rPr>
        <vertAlign val="superscript"/>
        <sz val="10"/>
        <rFont val="Arial"/>
        <family val="2"/>
        <charset val="238"/>
      </rPr>
      <t>2</t>
    </r>
  </si>
  <si>
    <r>
      <t>ute [</t>
    </r>
    <r>
      <rPr>
        <vertAlign val="superscript"/>
        <sz val="10"/>
        <rFont val="Arial"/>
        <family val="2"/>
        <charset val="238"/>
      </rPr>
      <t>o</t>
    </r>
    <r>
      <rPr>
        <sz val="11"/>
        <color theme="1"/>
        <rFont val="Calibri"/>
        <family val="2"/>
        <charset val="238"/>
        <scheme val="minor"/>
      </rPr>
      <t>C]</t>
    </r>
  </si>
  <si>
    <t>c</t>
  </si>
  <si>
    <t>Rt90</t>
  </si>
  <si>
    <t>uRt90</t>
  </si>
  <si>
    <t>acalc</t>
  </si>
  <si>
    <t>Word</t>
  </si>
  <si>
    <r>
      <t>u</t>
    </r>
    <r>
      <rPr>
        <vertAlign val="super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dW</t>
    </r>
  </si>
  <si>
    <t>bcalc</t>
  </si>
  <si>
    <t>Word-1</t>
  </si>
  <si>
    <t>ut90</t>
  </si>
  <si>
    <r>
      <t>u</t>
    </r>
    <r>
      <rPr>
        <vertAlign val="superscript"/>
        <sz val="10"/>
        <rFont val="Arial"/>
        <family val="2"/>
        <charset val="238"/>
      </rPr>
      <t>2</t>
    </r>
    <r>
      <rPr>
        <sz val="11"/>
        <color theme="1"/>
        <rFont val="Calibri"/>
        <family val="2"/>
        <charset val="238"/>
        <scheme val="minor"/>
      </rPr>
      <t>Wr(T)</t>
    </r>
  </si>
  <si>
    <r>
      <t>o</t>
    </r>
    <r>
      <rPr>
        <sz val="11"/>
        <color theme="1"/>
        <rFont val="Calibri"/>
        <family val="2"/>
        <charset val="238"/>
        <scheme val="minor"/>
      </rPr>
      <t>C/ohm</t>
    </r>
  </si>
  <si>
    <r>
      <t>u</t>
    </r>
    <r>
      <rPr>
        <sz val="11"/>
        <color theme="1"/>
        <rFont val="Calibri"/>
        <family val="2"/>
        <charset val="238"/>
        <scheme val="minor"/>
      </rPr>
      <t>Wr(T)</t>
    </r>
  </si>
  <si>
    <t>Stabilita Rn pro Rm [ohm]</t>
  </si>
  <si>
    <t>At</t>
  </si>
  <si>
    <t>W(T90)</t>
  </si>
  <si>
    <r>
      <t>u</t>
    </r>
    <r>
      <rPr>
        <vertAlign val="sub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</rPr>
      <t>[ohm]</t>
    </r>
  </si>
  <si>
    <t>W(T90)-1</t>
  </si>
  <si>
    <t>Legenda:</t>
  </si>
  <si>
    <r>
      <t>u</t>
    </r>
    <r>
      <rPr>
        <vertAlign val="subscript"/>
        <sz val="10"/>
        <rFont val="Arial"/>
        <family val="2"/>
        <charset val="238"/>
      </rPr>
      <t xml:space="preserve">c </t>
    </r>
    <r>
      <rPr>
        <sz val="10"/>
        <rFont val="Arial"/>
        <family val="2"/>
      </rPr>
      <t>[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</rPr>
      <t>C]</t>
    </r>
  </si>
  <si>
    <t>Dekáda</t>
  </si>
  <si>
    <t>Průměr:</t>
  </si>
  <si>
    <t>Počet měření:</t>
  </si>
  <si>
    <t>Hodnoty:</t>
  </si>
  <si>
    <t>neměřeno</t>
  </si>
  <si>
    <t>Nejistota typu A pro až 30 odměrů, výpočet lépe užívá funkce Excelu, korekce uA pro malý počet odečtů dle TPM 0051:</t>
  </si>
  <si>
    <t>Počet měření nutno zadat v pomocných datech níže.</t>
  </si>
  <si>
    <t>Tabulka naměřených hodnot pro výpočet standardní nejistoty typu A</t>
  </si>
  <si>
    <t>Nejistota typu A pro 10 nebo méně odměrů, výpočet dle vzorce, bez korekce pro malý počet měření:</t>
  </si>
  <si>
    <t>Volba výpočtu: (PT100 = 1  PT500=0)</t>
  </si>
  <si>
    <r>
      <t>Odhad x</t>
    </r>
    <r>
      <rPr>
        <b/>
        <vertAlign val="subscript"/>
        <sz val="10"/>
        <rFont val="Arial"/>
        <family val="2"/>
        <charset val="238"/>
      </rPr>
      <t>i</t>
    </r>
  </si>
  <si>
    <r>
      <t>u(x</t>
    </r>
    <r>
      <rPr>
        <b/>
        <vertAlign val="subscript"/>
        <sz val="10"/>
        <rFont val="Arial"/>
        <family val="2"/>
        <charset val="238"/>
      </rPr>
      <t>i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</si>
  <si>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>c</t>
    </r>
    <r>
      <rPr>
        <b/>
        <vertAlign val="subscript"/>
        <sz val="10"/>
        <rFont val="Arial"/>
        <family val="2"/>
        <charset val="238"/>
      </rPr>
      <t>i</t>
    </r>
  </si>
  <si>
    <r>
      <t>u</t>
    </r>
    <r>
      <rPr>
        <b/>
        <vertAlign val="subscript"/>
        <sz val="10"/>
        <rFont val="Arial"/>
        <family val="2"/>
        <charset val="238"/>
      </rPr>
      <t>i</t>
    </r>
    <r>
      <rPr>
        <b/>
        <sz val="11"/>
        <color theme="1"/>
        <rFont val="Calibri"/>
        <family val="2"/>
        <charset val="238"/>
        <scheme val="minor"/>
      </rPr>
      <t>(y)[deg C]</t>
    </r>
  </si>
  <si>
    <r>
      <t>u</t>
    </r>
    <r>
      <rPr>
        <b/>
        <vertAlign val="subscript"/>
        <sz val="10"/>
        <rFont val="Arial"/>
        <family val="2"/>
        <charset val="238"/>
      </rPr>
      <t>i</t>
    </r>
    <r>
      <rPr>
        <b/>
        <sz val="11"/>
        <color theme="1"/>
        <rFont val="Calibri"/>
        <family val="2"/>
        <charset val="238"/>
        <scheme val="minor"/>
      </rPr>
      <t>(y)[ohm]</t>
    </r>
  </si>
  <si>
    <t>Rnul</t>
  </si>
  <si>
    <t>R0 = 100 (1) nebo 500 (0) ohmu</t>
  </si>
  <si>
    <t>Výpočet nejistot pro etalonový teploměr dle ITS-90 přes nejistoty stanovení jeho konstant postupem dle článků Prof. Skákaly.</t>
  </si>
  <si>
    <t>(Prof. Ing. Jozef Skákala, CSc, Ing. Rudolf Brdečka, Odporové snímače teploty - určovanie neistôt pri kalibrácii a meraní, Metrológia a skúšobníctvo 3/96)</t>
  </si>
  <si>
    <t>Citlivostní koeficient</t>
  </si>
  <si>
    <t xml:space="preserve">Přepočet pomocí alternativně určeného </t>
  </si>
  <si>
    <t>citlivostního koeficientu</t>
  </si>
  <si>
    <t>ppb</t>
  </si>
  <si>
    <t>Průměr</t>
  </si>
  <si>
    <t>Počet měření</t>
  </si>
  <si>
    <t>uA (ppb)</t>
  </si>
  <si>
    <t>relativní</t>
  </si>
  <si>
    <t>Opakovaný odečet (jedno měření)</t>
  </si>
  <si>
    <t>Opakované měření (bez zásahu, krátce po sobě)</t>
  </si>
  <si>
    <t>Alternativní způsoby výpočtu uA s využitím jiných funkcí Excelu…</t>
  </si>
  <si>
    <t>A -</t>
  </si>
  <si>
    <t>B -</t>
  </si>
  <si>
    <t>C -</t>
  </si>
  <si>
    <t>Pokud bychom případ B považovali za měření v podmínkách opakovatelnosti a případ C za měření v podmínkách reprodukovatelnosti,</t>
  </si>
  <si>
    <t>tak můžeme určit hodnoty opakovatelnosti a reprodukovatelnosti následovně (postup dle ISO 5725-2):</t>
  </si>
  <si>
    <t>opakovatelnost</t>
  </si>
  <si>
    <t>reprodukovatelnost</t>
  </si>
  <si>
    <t>Další alternativy výpočtu používající jiné funkce Excelu viz list Opakovatelnost a reprodukovatelnost.</t>
  </si>
  <si>
    <t>Teplota z odporu (kvadratická rovnice):</t>
  </si>
  <si>
    <t>Odpor z teploty:</t>
  </si>
  <si>
    <t>Výpočet z derivace modelu měření:</t>
  </si>
  <si>
    <t>Numerický výpočet</t>
  </si>
  <si>
    <t>=(t2-t1)/(R2-R1)</t>
  </si>
  <si>
    <t>=(R2-R1)/(t2-t1)</t>
  </si>
  <si>
    <t>=R0*(A+2*B*t)</t>
  </si>
  <si>
    <t>=1/(R0*(A+2*B*t))</t>
  </si>
  <si>
    <t>koef.rozšíř</t>
  </si>
  <si>
    <t>n</t>
  </si>
  <si>
    <t>n-1</t>
  </si>
  <si>
    <t>Student. roz.</t>
  </si>
  <si>
    <t>Koeficienty Studentova rozdělení</t>
  </si>
  <si>
    <t>st. vol.</t>
  </si>
  <si>
    <t>poč. měř.</t>
  </si>
  <si>
    <t>TPM-051</t>
  </si>
  <si>
    <t>(hodnoty v posledních dvou sloupcích předpokládají použití k=2 pro rozšířenou nejistotu)</t>
  </si>
  <si>
    <t>Normální</t>
  </si>
  <si>
    <t>Rovnoměrné</t>
  </si>
  <si>
    <t>Trojúhelníkové</t>
  </si>
  <si>
    <t>Lichoběžníkové</t>
  </si>
  <si>
    <t>Bimodální trojůhelníkové</t>
  </si>
  <si>
    <t>Bimodální Diracovo</t>
  </si>
  <si>
    <t>U-rozdělení</t>
  </si>
  <si>
    <t>až</t>
  </si>
  <si>
    <t>Stanoveni nejistoty simulace teploty odporovou dekádou</t>
  </si>
  <si>
    <t xml:space="preserve">Simulovaná teplota </t>
  </si>
  <si>
    <t>Nejistota ověření %</t>
  </si>
  <si>
    <t>Nastavení</t>
  </si>
  <si>
    <t>Nastavený odpor Rd [ohm]</t>
  </si>
  <si>
    <t>Výpočet citlivostních koeficientů a dalších parametrů</t>
  </si>
  <si>
    <t>Údaj můstku pro Re</t>
  </si>
  <si>
    <t xml:space="preserve">Stabilita můstku pro Re </t>
  </si>
  <si>
    <t>Udaj můstku pro Rm</t>
  </si>
  <si>
    <t>Stabilita můstku pro Rm</t>
  </si>
  <si>
    <t>Kalibrace můstku pro Re</t>
  </si>
  <si>
    <t>Kalibrace Rn pro Re [ohm]</t>
  </si>
  <si>
    <t>Kalibrace můstku pro Rm</t>
  </si>
  <si>
    <t>Kalibrace Rn pro Rm [ohm]</t>
  </si>
  <si>
    <t xml:space="preserve">Stabilita lázně [oC] </t>
  </si>
  <si>
    <t>Teplotni gradient lázně [oC]</t>
  </si>
  <si>
    <t>Teplota lázně te [oC]</t>
  </si>
  <si>
    <t xml:space="preserve">Kalibrace etalonového teploměru  [oC] </t>
  </si>
  <si>
    <t>Ideálni odpor teploměru Rid(te) [ohm]</t>
  </si>
  <si>
    <t>Vliv přepínace měř. míst [ohm]</t>
  </si>
  <si>
    <t>Odpor kalibrovaného teploměru [ohm]</t>
  </si>
  <si>
    <t>Chyba kalibrovaného teploměru [ohm]</t>
  </si>
  <si>
    <t>Rozdělení</t>
  </si>
  <si>
    <t>normální</t>
  </si>
  <si>
    <t>rovnoměrné</t>
  </si>
  <si>
    <t>Zadané hodnoty</t>
  </si>
  <si>
    <t>Vypočtené hodnoty</t>
  </si>
  <si>
    <t>Výsledky</t>
  </si>
  <si>
    <t>Zadaná hodnota odporu teploměru Rm:</t>
  </si>
  <si>
    <t>tm=f(Rm)</t>
  </si>
  <si>
    <t>Rm=f(tm)</t>
  </si>
  <si>
    <t>Opakování odečtů vs. opakované měření.  Opakovatelnost a reprodukovatelnost - ilustrativní příklad.</t>
  </si>
  <si>
    <t>Opakované měření (nově provedená kompletní měření)</t>
  </si>
  <si>
    <t>Několik příkladů numerického určení citlivostních koeficientů, plus ilustrace téhož výpočtu z derivace funkce modelu měření.</t>
  </si>
  <si>
    <t>Přepočítací koeficient krajních mezí na směrodatnou odchylku</t>
  </si>
  <si>
    <t>Ilustrativní příklad stanovení nejistoty kalibrace odporového teploměru</t>
  </si>
  <si>
    <t>Příklady jednoduchých výpočtů nejistoty typu A.</t>
  </si>
  <si>
    <t>Podklady pro výběr rozdělení pravděpodobnosti.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</si>
</sst>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0.0000"/>
    <numFmt numFmtId="165" formatCode="0.00000"/>
    <numFmt numFmtId="166" formatCode="0.000"/>
    <numFmt numFmtId="167" formatCode="0&quot; měření&quot;"/>
    <numFmt numFmtId="168" formatCode="0.0E+00"/>
    <numFmt numFmtId="169" formatCode="0.000&quot; °C&quot;"/>
    <numFmt numFmtId="170" formatCode="0.000&quot; Ω&quot;"/>
    <numFmt numFmtId="171" formatCode="0.0000&quot; °C&quot;"/>
    <numFmt numFmtId="172" formatCode="0.0000&quot; °C/Ω&quot;"/>
    <numFmt numFmtId="173" formatCode="0.000000"/>
    <numFmt numFmtId="174" formatCode="0.0000000"/>
    <numFmt numFmtId="175" formatCode="0.000000E+00"/>
    <numFmt numFmtId="176" formatCode="0.00##"/>
    <numFmt numFmtId="177" formatCode="0.000##"/>
    <numFmt numFmtId="178" formatCode="0.000&quot; Ω/°C&quot;"/>
    <numFmt numFmtId="179" formatCode="0.000\ 000\ 000\ 000"/>
    <numFmt numFmtId="180" formatCode="0.00000E+00"/>
    <numFmt numFmtId="181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name val="Arial"/>
      <charset val="238"/>
    </font>
    <font>
      <b/>
      <sz val="12"/>
      <name val="Arial"/>
      <family val="2"/>
      <charset val="238"/>
    </font>
    <font>
      <vertAlign val="subscript"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0" tint="-4.9989318521683403E-2"/>
      <name val="Calibri"/>
      <family val="2"/>
      <charset val="238"/>
      <scheme val="minor"/>
    </font>
    <font>
      <b/>
      <vertAlign val="subscript"/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indexed="8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/>
      <right style="medium">
        <color auto="1"/>
      </right>
      <top style="double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thick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92">
    <xf numFmtId="0" fontId="0" fillId="0" borderId="0" xfId="0"/>
    <xf numFmtId="0" fontId="1" fillId="0" borderId="0" xfId="0" applyFont="1"/>
    <xf numFmtId="0" fontId="0" fillId="0" borderId="1" xfId="0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0" fontId="3" fillId="4" borderId="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right"/>
    </xf>
    <xf numFmtId="167" fontId="4" fillId="4" borderId="11" xfId="0" applyNumberFormat="1" applyFont="1" applyFill="1" applyBorder="1" applyAlignment="1">
      <alignment horizontal="left"/>
    </xf>
    <xf numFmtId="167" fontId="4" fillId="4" borderId="12" xfId="0" applyNumberFormat="1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7" fillId="4" borderId="17" xfId="0" applyFont="1" applyFill="1" applyBorder="1"/>
    <xf numFmtId="0" fontId="7" fillId="4" borderId="18" xfId="0" applyFont="1" applyFill="1" applyBorder="1"/>
    <xf numFmtId="0" fontId="0" fillId="4" borderId="18" xfId="0" applyFill="1" applyBorder="1"/>
    <xf numFmtId="0" fontId="0" fillId="4" borderId="19" xfId="0" applyFill="1" applyBorder="1"/>
    <xf numFmtId="0" fontId="3" fillId="0" borderId="0" xfId="1" applyFont="1" applyProtection="1"/>
    <xf numFmtId="0" fontId="8" fillId="0" borderId="0" xfId="1" applyProtection="1"/>
    <xf numFmtId="0" fontId="3" fillId="5" borderId="20" xfId="2" applyFont="1" applyFill="1" applyBorder="1" applyProtection="1"/>
    <xf numFmtId="0" fontId="7" fillId="5" borderId="21" xfId="2" applyFont="1" applyFill="1" applyBorder="1" applyProtection="1"/>
    <xf numFmtId="0" fontId="7" fillId="5" borderId="22" xfId="2" applyFont="1" applyFill="1" applyBorder="1" applyProtection="1"/>
    <xf numFmtId="0" fontId="7" fillId="5" borderId="27" xfId="0" applyFont="1" applyFill="1" applyBorder="1" applyProtection="1"/>
    <xf numFmtId="0" fontId="7" fillId="5" borderId="28" xfId="2" applyFont="1" applyFill="1" applyBorder="1" applyProtection="1"/>
    <xf numFmtId="168" fontId="7" fillId="5" borderId="29" xfId="2" applyNumberFormat="1" applyFont="1" applyFill="1" applyBorder="1" applyProtection="1"/>
    <xf numFmtId="166" fontId="7" fillId="5" borderId="30" xfId="2" applyNumberFormat="1" applyFont="1" applyFill="1" applyBorder="1" applyProtection="1"/>
    <xf numFmtId="168" fontId="7" fillId="5" borderId="30" xfId="2" applyNumberFormat="1" applyFont="1" applyFill="1" applyBorder="1" applyProtection="1"/>
    <xf numFmtId="0" fontId="7" fillId="5" borderId="27" xfId="2" applyFont="1" applyFill="1" applyBorder="1" applyProtection="1"/>
    <xf numFmtId="0" fontId="7" fillId="5" borderId="30" xfId="2" applyNumberFormat="1" applyFont="1" applyFill="1" applyBorder="1" applyProtection="1"/>
    <xf numFmtId="0" fontId="7" fillId="5" borderId="29" xfId="2" applyNumberFormat="1" applyFont="1" applyFill="1" applyBorder="1" applyProtection="1"/>
    <xf numFmtId="0" fontId="7" fillId="5" borderId="34" xfId="0" applyFont="1" applyFill="1" applyBorder="1" applyProtection="1"/>
    <xf numFmtId="0" fontId="7" fillId="5" borderId="35" xfId="2" applyFont="1" applyFill="1" applyBorder="1" applyProtection="1"/>
    <xf numFmtId="0" fontId="7" fillId="5" borderId="36" xfId="2" applyNumberFormat="1" applyFont="1" applyFill="1" applyBorder="1" applyProtection="1"/>
    <xf numFmtId="0" fontId="7" fillId="5" borderId="37" xfId="2" applyNumberFormat="1" applyFont="1" applyFill="1" applyBorder="1" applyProtection="1"/>
    <xf numFmtId="0" fontId="0" fillId="0" borderId="0" xfId="0" applyBorder="1"/>
    <xf numFmtId="0" fontId="0" fillId="6" borderId="0" xfId="0" applyFill="1"/>
    <xf numFmtId="0" fontId="0" fillId="6" borderId="0" xfId="0" applyFill="1" applyBorder="1"/>
    <xf numFmtId="169" fontId="0" fillId="0" borderId="0" xfId="0" applyNumberFormat="1"/>
    <xf numFmtId="170" fontId="0" fillId="6" borderId="0" xfId="0" applyNumberFormat="1" applyFill="1"/>
    <xf numFmtId="11" fontId="0" fillId="6" borderId="0" xfId="0" applyNumberFormat="1" applyFill="1" applyBorder="1"/>
    <xf numFmtId="170" fontId="0" fillId="3" borderId="1" xfId="0" applyNumberFormat="1" applyFill="1" applyBorder="1" applyAlignment="1">
      <alignment horizontal="center"/>
    </xf>
    <xf numFmtId="171" fontId="0" fillId="0" borderId="0" xfId="0" applyNumberFormat="1"/>
    <xf numFmtId="0" fontId="9" fillId="0" borderId="0" xfId="0" applyFont="1"/>
    <xf numFmtId="0" fontId="0" fillId="0" borderId="38" xfId="0" applyBorder="1"/>
    <xf numFmtId="0" fontId="0" fillId="0" borderId="31" xfId="0" applyBorder="1"/>
    <xf numFmtId="0" fontId="0" fillId="0" borderId="32" xfId="0" applyBorder="1"/>
    <xf numFmtId="0" fontId="0" fillId="0" borderId="39" xfId="0" applyBorder="1"/>
    <xf numFmtId="0" fontId="0" fillId="0" borderId="33" xfId="0" applyBorder="1"/>
    <xf numFmtId="0" fontId="0" fillId="0" borderId="0" xfId="0" applyBorder="1" applyProtection="1">
      <protection hidden="1"/>
    </xf>
    <xf numFmtId="0" fontId="0" fillId="8" borderId="1" xfId="0" applyFill="1" applyBorder="1"/>
    <xf numFmtId="11" fontId="0" fillId="0" borderId="0" xfId="0" applyNumberFormat="1" applyBorder="1"/>
    <xf numFmtId="0" fontId="0" fillId="8" borderId="1" xfId="0" applyFill="1" applyBorder="1" applyAlignment="1">
      <alignment horizontal="center"/>
    </xf>
    <xf numFmtId="164" fontId="0" fillId="0" borderId="0" xfId="0" applyNumberFormat="1" applyBorder="1"/>
    <xf numFmtId="166" fontId="0" fillId="0" borderId="0" xfId="0" applyNumberFormat="1" applyBorder="1"/>
    <xf numFmtId="0" fontId="0" fillId="0" borderId="1" xfId="0" quotePrefix="1" applyBorder="1" applyAlignment="1">
      <alignment horizontal="center"/>
    </xf>
    <xf numFmtId="166" fontId="0" fillId="9" borderId="1" xfId="0" applyNumberFormat="1" applyFill="1" applyBorder="1" applyAlignment="1">
      <alignment horizontal="center"/>
    </xf>
    <xf numFmtId="166" fontId="0" fillId="9" borderId="1" xfId="0" applyNumberFormat="1" applyFill="1" applyBorder="1"/>
    <xf numFmtId="0" fontId="0" fillId="0" borderId="41" xfId="0" applyBorder="1"/>
    <xf numFmtId="0" fontId="0" fillId="0" borderId="24" xfId="0" applyBorder="1"/>
    <xf numFmtId="0" fontId="0" fillId="0" borderId="25" xfId="0" applyBorder="1"/>
    <xf numFmtId="166" fontId="0" fillId="0" borderId="0" xfId="0" applyNumberFormat="1"/>
    <xf numFmtId="0" fontId="0" fillId="10" borderId="1" xfId="0" applyFill="1" applyBorder="1"/>
    <xf numFmtId="0" fontId="0" fillId="0" borderId="42" xfId="0" applyBorder="1"/>
    <xf numFmtId="0" fontId="0" fillId="10" borderId="0" xfId="0" applyFill="1"/>
    <xf numFmtId="0" fontId="0" fillId="9" borderId="1" xfId="0" applyFill="1" applyBorder="1"/>
    <xf numFmtId="0" fontId="12" fillId="0" borderId="0" xfId="0" applyFont="1"/>
    <xf numFmtId="0" fontId="0" fillId="11" borderId="0" xfId="0" applyFill="1" applyAlignment="1">
      <alignment wrapText="1"/>
    </xf>
    <xf numFmtId="0" fontId="0" fillId="0" borderId="0" xfId="0" applyAlignment="1">
      <alignment wrapText="1"/>
    </xf>
    <xf numFmtId="0" fontId="0" fillId="12" borderId="0" xfId="0" applyFill="1"/>
    <xf numFmtId="0" fontId="0" fillId="8" borderId="0" xfId="0" applyFill="1"/>
    <xf numFmtId="0" fontId="0" fillId="3" borderId="0" xfId="0" applyFill="1"/>
    <xf numFmtId="0" fontId="0" fillId="3" borderId="0" xfId="0" quotePrefix="1" applyFill="1"/>
    <xf numFmtId="0" fontId="0" fillId="6" borderId="38" xfId="0" applyFill="1" applyBorder="1"/>
    <xf numFmtId="0" fontId="0" fillId="6" borderId="31" xfId="0" applyFill="1" applyBorder="1"/>
    <xf numFmtId="0" fontId="0" fillId="6" borderId="32" xfId="0" applyFill="1" applyBorder="1"/>
    <xf numFmtId="0" fontId="0" fillId="6" borderId="39" xfId="0" applyFill="1" applyBorder="1"/>
    <xf numFmtId="0" fontId="0" fillId="6" borderId="33" xfId="0" applyFill="1" applyBorder="1"/>
    <xf numFmtId="173" fontId="0" fillId="8" borderId="1" xfId="0" applyNumberFormat="1" applyFill="1" applyBorder="1" applyAlignment="1">
      <alignment horizontal="center"/>
    </xf>
    <xf numFmtId="174" fontId="0" fillId="8" borderId="1" xfId="0" applyNumberFormat="1" applyFill="1" applyBorder="1"/>
    <xf numFmtId="166" fontId="0" fillId="0" borderId="1" xfId="0" applyNumberFormat="1" applyBorder="1"/>
    <xf numFmtId="165" fontId="0" fillId="0" borderId="1" xfId="0" applyNumberFormat="1" applyBorder="1"/>
    <xf numFmtId="0" fontId="13" fillId="0" borderId="39" xfId="0" applyFont="1" applyBorder="1"/>
    <xf numFmtId="166" fontId="0" fillId="8" borderId="1" xfId="0" applyNumberFormat="1" applyFill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165" fontId="0" fillId="8" borderId="1" xfId="0" applyNumberFormat="1" applyFill="1" applyBorder="1"/>
    <xf numFmtId="0" fontId="0" fillId="8" borderId="0" xfId="0" applyFill="1" applyBorder="1"/>
    <xf numFmtId="0" fontId="0" fillId="3" borderId="0" xfId="0" quotePrefix="1" applyFill="1" applyBorder="1"/>
    <xf numFmtId="2" fontId="0" fillId="3" borderId="1" xfId="0" applyNumberFormat="1" applyFill="1" applyBorder="1" applyAlignment="1">
      <alignment horizontal="center"/>
    </xf>
    <xf numFmtId="1" fontId="0" fillId="0" borderId="1" xfId="0" applyNumberFormat="1" applyBorder="1"/>
    <xf numFmtId="166" fontId="0" fillId="13" borderId="1" xfId="0" applyNumberFormat="1" applyFill="1" applyBorder="1" applyAlignment="1">
      <alignment horizontal="center"/>
    </xf>
    <xf numFmtId="175" fontId="0" fillId="8" borderId="0" xfId="0" applyNumberFormat="1" applyFill="1" applyBorder="1"/>
    <xf numFmtId="11" fontId="0" fillId="8" borderId="0" xfId="0" applyNumberFormat="1" applyFill="1" applyBorder="1"/>
    <xf numFmtId="173" fontId="0" fillId="3" borderId="1" xfId="0" applyNumberFormat="1" applyFill="1" applyBorder="1" applyAlignment="1">
      <alignment horizontal="center"/>
    </xf>
    <xf numFmtId="165" fontId="0" fillId="0" borderId="0" xfId="0" applyNumberFormat="1"/>
    <xf numFmtId="164" fontId="0" fillId="3" borderId="1" xfId="0" applyNumberFormat="1" applyFill="1" applyBorder="1"/>
    <xf numFmtId="164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11" fontId="0" fillId="0" borderId="0" xfId="0" applyNumberFormat="1"/>
    <xf numFmtId="164" fontId="0" fillId="8" borderId="0" xfId="0" applyNumberFormat="1" applyFill="1" applyBorder="1"/>
    <xf numFmtId="0" fontId="0" fillId="3" borderId="0" xfId="0" applyFill="1" applyBorder="1"/>
    <xf numFmtId="0" fontId="0" fillId="12" borderId="33" xfId="0" applyFill="1" applyBorder="1"/>
    <xf numFmtId="0" fontId="0" fillId="12" borderId="39" xfId="0" applyFill="1" applyBorder="1"/>
    <xf numFmtId="164" fontId="0" fillId="3" borderId="0" xfId="0" applyNumberFormat="1" applyFill="1" applyBorder="1"/>
    <xf numFmtId="0" fontId="0" fillId="0" borderId="0" xfId="0" applyFill="1" applyBorder="1"/>
    <xf numFmtId="165" fontId="0" fillId="14" borderId="1" xfId="0" applyNumberFormat="1" applyFill="1" applyBorder="1" applyAlignment="1">
      <alignment horizontal="center"/>
    </xf>
    <xf numFmtId="0" fontId="11" fillId="12" borderId="39" xfId="0" applyFont="1" applyFill="1" applyBorder="1"/>
    <xf numFmtId="0" fontId="0" fillId="0" borderId="1" xfId="0" applyFill="1" applyBorder="1"/>
    <xf numFmtId="164" fontId="0" fillId="0" borderId="1" xfId="0" applyNumberFormat="1" applyBorder="1"/>
    <xf numFmtId="164" fontId="0" fillId="9" borderId="1" xfId="0" applyNumberFormat="1" applyFill="1" applyBorder="1"/>
    <xf numFmtId="164" fontId="0" fillId="9" borderId="1" xfId="0" applyNumberFormat="1" applyFill="1" applyBorder="1" applyAlignment="1">
      <alignment horizontal="center"/>
    </xf>
    <xf numFmtId="0" fontId="0" fillId="6" borderId="41" xfId="0" applyFill="1" applyBorder="1"/>
    <xf numFmtId="0" fontId="0" fillId="6" borderId="24" xfId="0" applyFill="1" applyBorder="1"/>
    <xf numFmtId="0" fontId="0" fillId="6" borderId="25" xfId="0" applyFill="1" applyBorder="1"/>
    <xf numFmtId="0" fontId="0" fillId="3" borderId="1" xfId="0" applyFill="1" applyBorder="1"/>
    <xf numFmtId="0" fontId="0" fillId="15" borderId="0" xfId="0" applyFill="1"/>
    <xf numFmtId="0" fontId="1" fillId="0" borderId="1" xfId="0" applyFont="1" applyBorder="1"/>
    <xf numFmtId="0" fontId="0" fillId="0" borderId="1" xfId="0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176" fontId="7" fillId="0" borderId="13" xfId="0" applyNumberFormat="1" applyFont="1" applyBorder="1" applyAlignment="1" applyProtection="1">
      <alignment horizontal="center"/>
      <protection locked="0"/>
    </xf>
    <xf numFmtId="1" fontId="7" fillId="15" borderId="26" xfId="2" applyNumberFormat="1" applyFont="1" applyFill="1" applyBorder="1" applyAlignment="1" applyProtection="1">
      <alignment horizontal="center"/>
    </xf>
    <xf numFmtId="0" fontId="7" fillId="15" borderId="23" xfId="2" applyFont="1" applyFill="1" applyBorder="1" applyProtection="1"/>
    <xf numFmtId="0" fontId="7" fillId="15" borderId="24" xfId="2" applyFont="1" applyFill="1" applyBorder="1" applyProtection="1"/>
    <xf numFmtId="0" fontId="7" fillId="15" borderId="25" xfId="2" applyFont="1" applyFill="1" applyBorder="1" applyProtection="1"/>
    <xf numFmtId="0" fontId="1" fillId="15" borderId="0" xfId="0" applyFont="1" applyFill="1"/>
    <xf numFmtId="0" fontId="0" fillId="15" borderId="0" xfId="0" applyFill="1" applyAlignment="1">
      <alignment horizontal="center"/>
    </xf>
    <xf numFmtId="0" fontId="4" fillId="4" borderId="43" xfId="0" applyFont="1" applyFill="1" applyBorder="1" applyAlignment="1">
      <alignment horizontal="center"/>
    </xf>
    <xf numFmtId="0" fontId="4" fillId="4" borderId="45" xfId="0" applyFont="1" applyFill="1" applyBorder="1" applyAlignment="1">
      <alignment horizontal="right"/>
    </xf>
    <xf numFmtId="177" fontId="14" fillId="16" borderId="44" xfId="0" applyNumberFormat="1" applyFont="1" applyFill="1" applyBorder="1" applyAlignment="1" applyProtection="1">
      <alignment horizontal="center"/>
      <protection locked="0"/>
    </xf>
    <xf numFmtId="166" fontId="14" fillId="16" borderId="46" xfId="0" applyNumberFormat="1" applyFont="1" applyFill="1" applyBorder="1" applyAlignment="1" applyProtection="1">
      <alignment horizontal="center"/>
      <protection locked="0"/>
    </xf>
    <xf numFmtId="0" fontId="15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/>
    <xf numFmtId="166" fontId="0" fillId="3" borderId="1" xfId="0" applyNumberFormat="1" applyFill="1" applyBorder="1" applyAlignment="1">
      <alignment horizontal="center"/>
    </xf>
    <xf numFmtId="166" fontId="0" fillId="9" borderId="42" xfId="0" applyNumberFormat="1" applyFill="1" applyBorder="1"/>
    <xf numFmtId="0" fontId="1" fillId="0" borderId="40" xfId="0" applyFont="1" applyBorder="1" applyAlignment="1">
      <alignment horizontal="center"/>
    </xf>
    <xf numFmtId="0" fontId="1" fillId="7" borderId="0" xfId="0" applyFont="1" applyFill="1"/>
    <xf numFmtId="0" fontId="1" fillId="0" borderId="1" xfId="0" applyFont="1" applyBorder="1" applyAlignment="1">
      <alignment horizontal="center"/>
    </xf>
    <xf numFmtId="0" fontId="0" fillId="8" borderId="47" xfId="0" applyFill="1" applyBorder="1" applyAlignment="1">
      <alignment horizontal="center"/>
    </xf>
    <xf numFmtId="0" fontId="0" fillId="8" borderId="48" xfId="0" applyFill="1" applyBorder="1" applyAlignment="1">
      <alignment horizontal="center"/>
    </xf>
    <xf numFmtId="0" fontId="0" fillId="17" borderId="31" xfId="0" applyFill="1" applyBorder="1"/>
    <xf numFmtId="0" fontId="0" fillId="17" borderId="0" xfId="0" applyFill="1" applyBorder="1"/>
    <xf numFmtId="0" fontId="0" fillId="17" borderId="24" xfId="0" applyFill="1" applyBorder="1"/>
    <xf numFmtId="0" fontId="0" fillId="0" borderId="0" xfId="0" applyFont="1"/>
    <xf numFmtId="166" fontId="0" fillId="5" borderId="0" xfId="0" applyNumberForma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79" fontId="17" fillId="0" borderId="0" xfId="0" applyNumberFormat="1" applyFont="1"/>
    <xf numFmtId="2" fontId="0" fillId="0" borderId="0" xfId="0" applyNumberFormat="1"/>
    <xf numFmtId="2" fontId="0" fillId="0" borderId="0" xfId="0" applyNumberFormat="1" applyAlignment="1">
      <alignment horizontal="center"/>
    </xf>
    <xf numFmtId="179" fontId="1" fillId="0" borderId="0" xfId="0" applyNumberFormat="1" applyFont="1"/>
    <xf numFmtId="179" fontId="18" fillId="0" borderId="0" xfId="0" applyNumberFormat="1" applyFont="1"/>
    <xf numFmtId="180" fontId="0" fillId="0" borderId="0" xfId="0" applyNumberFormat="1"/>
    <xf numFmtId="11" fontId="1" fillId="0" borderId="0" xfId="0" applyNumberFormat="1" applyFont="1" applyAlignment="1">
      <alignment horizontal="center"/>
    </xf>
    <xf numFmtId="2" fontId="1" fillId="18" borderId="0" xfId="0" applyNumberFormat="1" applyFont="1" applyFill="1" applyAlignment="1">
      <alignment horizontal="center"/>
    </xf>
    <xf numFmtId="0" fontId="1" fillId="19" borderId="0" xfId="0" applyFont="1" applyFill="1"/>
    <xf numFmtId="11" fontId="0" fillId="19" borderId="0" xfId="0" applyNumberFormat="1" applyFill="1"/>
    <xf numFmtId="0" fontId="0" fillId="19" borderId="0" xfId="0" applyFill="1"/>
    <xf numFmtId="11" fontId="1" fillId="18" borderId="0" xfId="0" applyNumberFormat="1" applyFont="1" applyFill="1"/>
    <xf numFmtId="0" fontId="1" fillId="19" borderId="0" xfId="0" applyFont="1" applyFill="1" applyAlignment="1">
      <alignment horizontal="right"/>
    </xf>
    <xf numFmtId="1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81" fontId="0" fillId="18" borderId="0" xfId="0" applyNumberFormat="1" applyFill="1" applyAlignment="1">
      <alignment horizontal="center"/>
    </xf>
    <xf numFmtId="1" fontId="0" fillId="18" borderId="0" xfId="0" applyNumberFormat="1" applyFill="1" applyAlignment="1">
      <alignment horizontal="center"/>
    </xf>
    <xf numFmtId="1" fontId="1" fillId="18" borderId="0" xfId="0" applyNumberFormat="1" applyFont="1" applyFill="1" applyAlignment="1">
      <alignment horizontal="center"/>
    </xf>
    <xf numFmtId="181" fontId="1" fillId="18" borderId="0" xfId="0" applyNumberFormat="1" applyFont="1" applyFill="1" applyAlignment="1">
      <alignment horizontal="center"/>
    </xf>
    <xf numFmtId="0" fontId="0" fillId="20" borderId="0" xfId="0" applyFill="1"/>
    <xf numFmtId="0" fontId="1" fillId="18" borderId="0" xfId="0" applyFont="1" applyFill="1"/>
    <xf numFmtId="0" fontId="0" fillId="18" borderId="0" xfId="0" applyFill="1"/>
    <xf numFmtId="1" fontId="1" fillId="15" borderId="0" xfId="0" applyNumberFormat="1" applyFont="1" applyFill="1" applyAlignment="1">
      <alignment horizontal="center"/>
    </xf>
    <xf numFmtId="0" fontId="0" fillId="0" borderId="0" xfId="0" quotePrefix="1"/>
    <xf numFmtId="0" fontId="0" fillId="0" borderId="0" xfId="0" applyAlignment="1">
      <alignment horizontal="right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15" borderId="0" xfId="0" applyNumberFormat="1" applyFill="1" applyAlignment="1">
      <alignment horizontal="center"/>
    </xf>
    <xf numFmtId="0" fontId="1" fillId="17" borderId="0" xfId="0" applyFont="1" applyFill="1"/>
    <xf numFmtId="178" fontId="0" fillId="18" borderId="0" xfId="0" applyNumberFormat="1" applyFill="1"/>
    <xf numFmtId="172" fontId="0" fillId="18" borderId="0" xfId="0" applyNumberFormat="1" applyFill="1" applyBorder="1"/>
    <xf numFmtId="171" fontId="0" fillId="18" borderId="0" xfId="0" applyNumberFormat="1" applyFill="1"/>
    <xf numFmtId="11" fontId="0" fillId="18" borderId="0" xfId="0" applyNumberFormat="1" applyFill="1"/>
    <xf numFmtId="2" fontId="0" fillId="18" borderId="0" xfId="0" applyNumberFormat="1" applyFill="1" applyAlignment="1">
      <alignment horizontal="center"/>
    </xf>
    <xf numFmtId="0" fontId="0" fillId="18" borderId="0" xfId="0" applyFill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167" fontId="5" fillId="4" borderId="1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3">
    <cellStyle name="Normal" xfId="0" builtinId="0"/>
    <cellStyle name="normální_labox" xfId="2"/>
    <cellStyle name="normální_Řetězec_teplota_kalibrace" xfId="1"/>
  </cellStyles>
  <dxfs count="0"/>
  <tableStyles count="0" defaultTableStyle="TableStyleMedium9" defaultPivotStyle="PivotStyleLight16"/>
  <colors>
    <mruColors>
      <color rgb="FFCCFF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</c:v>
          </c:tx>
          <c:marker>
            <c:symbol val="none"/>
          </c:marker>
          <c:val>
            <c:numRef>
              <c:f>'Opakovatelnost, reprodukovateln'!$A$7:$A$13</c:f>
              <c:numCache>
                <c:formatCode>0.00</c:formatCode>
                <c:ptCount val="7"/>
                <c:pt idx="0">
                  <c:v>-0.0544428582077705</c:v>
                </c:pt>
                <c:pt idx="1">
                  <c:v>-0.0500728573188391</c:v>
                </c:pt>
                <c:pt idx="2">
                  <c:v>-0.00983285675104639</c:v>
                </c:pt>
                <c:pt idx="3">
                  <c:v>0.0341871427000928</c:v>
                </c:pt>
                <c:pt idx="4">
                  <c:v>0.0385471429081852</c:v>
                </c:pt>
                <c:pt idx="5">
                  <c:v>0.0182771419526828</c:v>
                </c:pt>
                <c:pt idx="6">
                  <c:v>0.0233371429819718</c:v>
                </c:pt>
              </c:numCache>
            </c:numRef>
          </c:val>
          <c:smooth val="0"/>
        </c:ser>
        <c:ser>
          <c:idx val="1"/>
          <c:order val="1"/>
          <c:tx>
            <c:v>B</c:v>
          </c:tx>
          <c:marker>
            <c:symbol val="none"/>
          </c:marker>
          <c:val>
            <c:numRef>
              <c:f>'Opakovatelnost, reprodukovateln'!$A$18:$A$24</c:f>
              <c:numCache>
                <c:formatCode>0.00</c:formatCode>
                <c:ptCount val="7"/>
                <c:pt idx="0">
                  <c:v>-0.252144126758336</c:v>
                </c:pt>
                <c:pt idx="1">
                  <c:v>-0.119912132306998</c:v>
                </c:pt>
                <c:pt idx="2">
                  <c:v>-0.0440968268844433</c:v>
                </c:pt>
                <c:pt idx="3">
                  <c:v>0.0471082721442695</c:v>
                </c:pt>
                <c:pt idx="4">
                  <c:v>-0.15301513008048</c:v>
                </c:pt>
                <c:pt idx="5">
                  <c:v>0.221822773691094</c:v>
                </c:pt>
                <c:pt idx="6">
                  <c:v>0.300237170194895</c:v>
                </c:pt>
              </c:numCache>
            </c:numRef>
          </c:val>
          <c:smooth val="0"/>
        </c:ser>
        <c:ser>
          <c:idx val="2"/>
          <c:order val="2"/>
          <c:tx>
            <c:v>C</c:v>
          </c:tx>
          <c:marker>
            <c:symbol val="none"/>
          </c:marker>
          <c:val>
            <c:numRef>
              <c:f>'Opakovatelnost, reprodukovateln'!$A$29:$A$35</c:f>
              <c:numCache>
                <c:formatCode>0.00</c:formatCode>
                <c:ptCount val="7"/>
                <c:pt idx="0">
                  <c:v>1.175222873878168</c:v>
                </c:pt>
                <c:pt idx="1">
                  <c:v>4.702004273784976</c:v>
                </c:pt>
                <c:pt idx="2">
                  <c:v>6.008681772626256</c:v>
                </c:pt>
                <c:pt idx="3">
                  <c:v>-0.117247630007644</c:v>
                </c:pt>
                <c:pt idx="4">
                  <c:v>-3.01114072912001</c:v>
                </c:pt>
                <c:pt idx="5">
                  <c:v>-4.457332324417362</c:v>
                </c:pt>
                <c:pt idx="6">
                  <c:v>-4.300188222866597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7046176"/>
        <c:axId val="1756926400"/>
      </c:lineChart>
      <c:catAx>
        <c:axId val="1757046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756926400"/>
        <c:crosses val="autoZero"/>
        <c:auto val="1"/>
        <c:lblAlgn val="ctr"/>
        <c:lblOffset val="100"/>
        <c:noMultiLvlLbl val="0"/>
      </c:catAx>
      <c:valAx>
        <c:axId val="17569264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57046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5" l="0.7" r="0.7" t="0.7874015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4" Type="http://schemas.openxmlformats.org/officeDocument/2006/relationships/image" Target="../media/image8.png"/><Relationship Id="rId5" Type="http://schemas.openxmlformats.org/officeDocument/2006/relationships/image" Target="../media/image9.png"/><Relationship Id="rId6" Type="http://schemas.openxmlformats.org/officeDocument/2006/relationships/image" Target="../media/image10.png"/><Relationship Id="rId1" Type="http://schemas.openxmlformats.org/officeDocument/2006/relationships/image" Target="../media/image5.png"/><Relationship Id="rId2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323850</xdr:colOff>
      <xdr:row>1</xdr:row>
      <xdr:rowOff>104774</xdr:rowOff>
    </xdr:from>
    <xdr:to>
      <xdr:col>22</xdr:col>
      <xdr:colOff>19050</xdr:colOff>
      <xdr:row>19</xdr:row>
      <xdr:rowOff>85725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25</xdr:row>
          <xdr:rowOff>0</xdr:rowOff>
        </xdr:from>
        <xdr:to>
          <xdr:col>7</xdr:col>
          <xdr:colOff>1193800</xdr:colOff>
          <xdr:row>25</xdr:row>
          <xdr:rowOff>317500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139700</xdr:colOff>
          <xdr:row>25</xdr:row>
          <xdr:rowOff>419100</xdr:rowOff>
        </xdr:from>
        <xdr:to>
          <xdr:col>7</xdr:col>
          <xdr:colOff>1041400</xdr:colOff>
          <xdr:row>27</xdr:row>
          <xdr:rowOff>63500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28</xdr:row>
          <xdr:rowOff>0</xdr:rowOff>
        </xdr:from>
        <xdr:to>
          <xdr:col>8</xdr:col>
          <xdr:colOff>228600</xdr:colOff>
          <xdr:row>29</xdr:row>
          <xdr:rowOff>101600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485774</xdr:colOff>
      <xdr:row>2</xdr:row>
      <xdr:rowOff>0</xdr:rowOff>
    </xdr:from>
    <xdr:to>
      <xdr:col>19</xdr:col>
      <xdr:colOff>266699</xdr:colOff>
      <xdr:row>14</xdr:row>
      <xdr:rowOff>55179</xdr:rowOff>
    </xdr:to>
    <xdr:pic>
      <xdr:nvPicPr>
        <xdr:cNvPr id="5121" name="Picture 1" descr="Graf R(t) 300dpi Tm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77424" y="381000"/>
          <a:ext cx="2828925" cy="234117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31</xdr:row>
      <xdr:rowOff>9524</xdr:rowOff>
    </xdr:from>
    <xdr:to>
      <xdr:col>18</xdr:col>
      <xdr:colOff>560928</xdr:colOff>
      <xdr:row>40</xdr:row>
      <xdr:rowOff>133349</xdr:rowOff>
    </xdr:to>
    <xdr:pic>
      <xdr:nvPicPr>
        <xdr:cNvPr id="6145" name="Picture 1" descr="Bimodální Dirac 300dpi Tm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34400" y="5915024"/>
          <a:ext cx="3266028" cy="183832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>
    <xdr:from>
      <xdr:col>13</xdr:col>
      <xdr:colOff>76200</xdr:colOff>
      <xdr:row>20</xdr:row>
      <xdr:rowOff>0</xdr:rowOff>
    </xdr:from>
    <xdr:to>
      <xdr:col>19</xdr:col>
      <xdr:colOff>576743</xdr:colOff>
      <xdr:row>29</xdr:row>
      <xdr:rowOff>76200</xdr:rowOff>
    </xdr:to>
    <xdr:pic>
      <xdr:nvPicPr>
        <xdr:cNvPr id="6146" name="Picture 2" descr="Lichoběžníkové 300dpi TmR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81950" y="3810000"/>
          <a:ext cx="4443893" cy="1790700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>
    <xdr:from>
      <xdr:col>7</xdr:col>
      <xdr:colOff>285750</xdr:colOff>
      <xdr:row>31</xdr:row>
      <xdr:rowOff>1</xdr:rowOff>
    </xdr:from>
    <xdr:to>
      <xdr:col>13</xdr:col>
      <xdr:colOff>533693</xdr:colOff>
      <xdr:row>40</xdr:row>
      <xdr:rowOff>123825</xdr:rowOff>
    </xdr:to>
    <xdr:pic>
      <xdr:nvPicPr>
        <xdr:cNvPr id="6147" name="Picture 3" descr="Bimodální trojúhelníkové 300dpi TmR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33900" y="5905501"/>
          <a:ext cx="3905543" cy="1838324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9525</xdr:colOff>
      <xdr:row>31</xdr:row>
      <xdr:rowOff>1</xdr:rowOff>
    </xdr:from>
    <xdr:to>
      <xdr:col>7</xdr:col>
      <xdr:colOff>152400</xdr:colOff>
      <xdr:row>40</xdr:row>
      <xdr:rowOff>134197</xdr:rowOff>
    </xdr:to>
    <xdr:pic>
      <xdr:nvPicPr>
        <xdr:cNvPr id="6148" name="Picture 4" descr="Simpsonovo 300dpi TmR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19125" y="5905501"/>
          <a:ext cx="3781425" cy="1848696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>
    <xdr:from>
      <xdr:col>1</xdr:col>
      <xdr:colOff>0</xdr:colOff>
      <xdr:row>20</xdr:row>
      <xdr:rowOff>1</xdr:rowOff>
    </xdr:from>
    <xdr:to>
      <xdr:col>6</xdr:col>
      <xdr:colOff>286540</xdr:colOff>
      <xdr:row>29</xdr:row>
      <xdr:rowOff>95250</xdr:rowOff>
    </xdr:to>
    <xdr:pic>
      <xdr:nvPicPr>
        <xdr:cNvPr id="6149" name="Picture 5" descr="Gauss 300dpi TmR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3810001"/>
          <a:ext cx="3534565" cy="1809749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  <xdr:twoCellAnchor>
    <xdr:from>
      <xdr:col>7</xdr:col>
      <xdr:colOff>9526</xdr:colOff>
      <xdr:row>19</xdr:row>
      <xdr:rowOff>190499</xdr:rowOff>
    </xdr:from>
    <xdr:to>
      <xdr:col>12</xdr:col>
      <xdr:colOff>596330</xdr:colOff>
      <xdr:row>29</xdr:row>
      <xdr:rowOff>85724</xdr:rowOff>
    </xdr:to>
    <xdr:pic>
      <xdr:nvPicPr>
        <xdr:cNvPr id="6150" name="Picture 6" descr="Pravoúhlé 300dpi Tm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257676" y="3809999"/>
          <a:ext cx="3634804" cy="1800225"/>
        </a:xfrm>
        <a:prstGeom prst="rect">
          <a:avLst/>
        </a:prstGeom>
        <a:noFill/>
        <a:ln w="9525">
          <a:solidFill>
            <a:schemeClr val="accent1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4" Type="http://schemas.openxmlformats.org/officeDocument/2006/relationships/image" Target="../media/image1.wmf"/><Relationship Id="rId5" Type="http://schemas.openxmlformats.org/officeDocument/2006/relationships/oleObject" Target="../embeddings/oleObject2.bin"/><Relationship Id="rId6" Type="http://schemas.openxmlformats.org/officeDocument/2006/relationships/image" Target="../media/image2.wmf"/><Relationship Id="rId7" Type="http://schemas.openxmlformats.org/officeDocument/2006/relationships/oleObject" Target="../embeddings/oleObject3.bin"/><Relationship Id="rId8" Type="http://schemas.openxmlformats.org/officeDocument/2006/relationships/image" Target="../media/image3.wmf"/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workbookViewId="0"/>
  </sheetViews>
  <sheetFormatPr baseColWidth="10" defaultColWidth="8.83203125" defaultRowHeight="15" x14ac:dyDescent="0.2"/>
  <cols>
    <col min="1" max="12" width="12.83203125" customWidth="1"/>
    <col min="15" max="15" width="12" bestFit="1" customWidth="1"/>
  </cols>
  <sheetData>
    <row r="1" spans="1:11" x14ac:dyDescent="0.2">
      <c r="C1" s="166" t="s">
        <v>197</v>
      </c>
      <c r="D1" s="167"/>
      <c r="E1" s="167"/>
      <c r="F1" s="167"/>
    </row>
    <row r="3" spans="1:11" s="1" customFormat="1" x14ac:dyDescent="0.2">
      <c r="B3" s="1" t="s">
        <v>106</v>
      </c>
    </row>
    <row r="5" spans="1:11" x14ac:dyDescent="0.2">
      <c r="B5" s="123" t="s">
        <v>100</v>
      </c>
      <c r="C5" s="124">
        <v>7</v>
      </c>
    </row>
    <row r="6" spans="1:11" x14ac:dyDescent="0.2">
      <c r="B6" s="116">
        <v>1</v>
      </c>
      <c r="C6" s="116">
        <v>2</v>
      </c>
      <c r="D6" s="116">
        <v>3</v>
      </c>
      <c r="E6" s="116">
        <v>4</v>
      </c>
      <c r="F6" s="116">
        <v>5</v>
      </c>
      <c r="G6" s="116">
        <v>6</v>
      </c>
      <c r="H6" s="116">
        <v>7</v>
      </c>
      <c r="I6" s="116">
        <v>8</v>
      </c>
      <c r="J6" s="116">
        <v>9</v>
      </c>
      <c r="K6" s="116">
        <v>10</v>
      </c>
    </row>
    <row r="7" spans="1:11" x14ac:dyDescent="0.2">
      <c r="A7" s="1" t="s">
        <v>101</v>
      </c>
      <c r="B7" s="117">
        <v>180</v>
      </c>
      <c r="C7" s="117">
        <v>180.02</v>
      </c>
      <c r="D7" s="117">
        <v>180.4</v>
      </c>
      <c r="E7" s="117">
        <v>180</v>
      </c>
      <c r="F7" s="117">
        <v>180</v>
      </c>
      <c r="G7" s="117">
        <v>180</v>
      </c>
      <c r="H7" s="117">
        <v>180</v>
      </c>
      <c r="I7" s="117"/>
      <c r="J7" s="117"/>
      <c r="K7" s="117"/>
    </row>
    <row r="8" spans="1:11" x14ac:dyDescent="0.2">
      <c r="B8" s="129">
        <f>IF($C$5&gt;1,((B7-$C$9)^2),0)</f>
        <v>3.6000000000002727E-3</v>
      </c>
      <c r="C8" s="129">
        <f>IF($C$5&gt;1,((C7-$C$9)^2),0)</f>
        <v>1.5999999999993634E-3</v>
      </c>
      <c r="D8" s="129">
        <f>IF($C$5&gt;2,((D7-$C$9)^2),0)</f>
        <v>0.11560000000000233</v>
      </c>
      <c r="E8" s="129">
        <f>IF($C$5&gt;3,((E7-$C$9)^2),0)</f>
        <v>3.6000000000002727E-3</v>
      </c>
      <c r="F8" s="129">
        <f>IF($C$5&gt;4,((F7-$C$9)^2),0)</f>
        <v>3.6000000000002727E-3</v>
      </c>
      <c r="G8" s="129">
        <f>IF($C$5&gt;5,((G7-$C$9)^2),0)</f>
        <v>3.6000000000002727E-3</v>
      </c>
      <c r="H8" s="129">
        <f>IF($C$5&gt;6,((H7-$C$9)^2),0)</f>
        <v>3.6000000000002727E-3</v>
      </c>
      <c r="I8" s="129">
        <f>IF($C$5&gt;7,((I7-$C$9)^2),0)</f>
        <v>0</v>
      </c>
      <c r="J8" s="129">
        <f>IF($C$5&gt;8,((J7-$C$9)^2),0)</f>
        <v>0</v>
      </c>
      <c r="K8" s="129">
        <f>IF($C$5&gt;9,((K7-$C$9)^2),0)</f>
        <v>0</v>
      </c>
    </row>
    <row r="9" spans="1:11" x14ac:dyDescent="0.2">
      <c r="B9" s="115" t="s">
        <v>99</v>
      </c>
      <c r="C9" s="3">
        <f>SUM(B7:K7)/C5</f>
        <v>180.06</v>
      </c>
    </row>
    <row r="10" spans="1:11" x14ac:dyDescent="0.2">
      <c r="B10" s="115" t="s">
        <v>0</v>
      </c>
      <c r="C10" s="4">
        <f>IF(C5&gt;1,(SQRT(SUM(B8:K8)/(C5*(C5-1)))),0)</f>
        <v>5.6736651461358659E-2</v>
      </c>
    </row>
    <row r="14" spans="1:11" x14ac:dyDescent="0.2">
      <c r="B14" s="1" t="s">
        <v>103</v>
      </c>
      <c r="C14" s="1"/>
      <c r="D14" s="1"/>
      <c r="E14" s="1"/>
      <c r="F14" s="1"/>
    </row>
    <row r="15" spans="1:11" x14ac:dyDescent="0.2">
      <c r="B15" s="1" t="s">
        <v>104</v>
      </c>
      <c r="C15" s="1"/>
      <c r="D15" s="1"/>
      <c r="E15" s="1"/>
      <c r="F15" s="1"/>
    </row>
    <row r="16" spans="1:11" ht="16" thickBot="1" x14ac:dyDescent="0.25"/>
    <row r="17" spans="1:16" ht="16" thickTop="1" x14ac:dyDescent="0.2">
      <c r="B17" s="181" t="s">
        <v>105</v>
      </c>
      <c r="C17" s="182"/>
      <c r="D17" s="182"/>
      <c r="E17" s="182"/>
      <c r="F17" s="183"/>
    </row>
    <row r="18" spans="1:16" x14ac:dyDescent="0.2">
      <c r="B18" s="184"/>
      <c r="C18" s="185"/>
      <c r="D18" s="185"/>
      <c r="E18" s="185"/>
      <c r="F18" s="186"/>
    </row>
    <row r="19" spans="1:16" x14ac:dyDescent="0.2">
      <c r="B19" s="184"/>
      <c r="C19" s="185"/>
      <c r="D19" s="185"/>
      <c r="E19" s="185"/>
      <c r="F19" s="186"/>
      <c r="I19" s="166" t="s">
        <v>135</v>
      </c>
      <c r="J19" s="167"/>
      <c r="K19" s="167"/>
      <c r="L19" s="167"/>
      <c r="M19" s="167"/>
      <c r="N19" s="167"/>
      <c r="O19" s="167"/>
      <c r="P19" s="167"/>
    </row>
    <row r="20" spans="1:16" ht="16" thickBot="1" x14ac:dyDescent="0.25">
      <c r="B20" s="187"/>
      <c r="C20" s="188"/>
      <c r="D20" s="188"/>
      <c r="E20" s="188"/>
      <c r="F20" s="189"/>
    </row>
    <row r="21" spans="1:16" ht="17" thickTop="1" thickBot="1" x14ac:dyDescent="0.25">
      <c r="B21" s="125" t="s">
        <v>99</v>
      </c>
      <c r="C21" s="127">
        <f>E40</f>
        <v>138</v>
      </c>
      <c r="D21" s="5"/>
      <c r="E21" s="126" t="s">
        <v>0</v>
      </c>
      <c r="F21" s="128">
        <f>E44</f>
        <v>4.9665548085853035E-3</v>
      </c>
    </row>
    <row r="22" spans="1:16" ht="17" thickTop="1" thickBot="1" x14ac:dyDescent="0.25">
      <c r="B22" s="6" t="s">
        <v>1</v>
      </c>
      <c r="C22" s="190">
        <f>E39</f>
        <v>10</v>
      </c>
      <c r="D22" s="190"/>
      <c r="E22" s="7" t="s">
        <v>2</v>
      </c>
      <c r="F22" s="8"/>
    </row>
    <row r="23" spans="1:16" ht="16" thickBot="1" x14ac:dyDescent="0.25">
      <c r="B23" s="9">
        <v>1</v>
      </c>
      <c r="C23" s="10">
        <v>2</v>
      </c>
      <c r="D23" s="10">
        <v>3</v>
      </c>
      <c r="E23" s="10">
        <v>4</v>
      </c>
      <c r="F23" s="11">
        <v>5</v>
      </c>
    </row>
    <row r="24" spans="1:16" ht="16" thickBot="1" x14ac:dyDescent="0.25">
      <c r="B24" s="118">
        <v>138.012</v>
      </c>
      <c r="C24" s="118">
        <v>138.02600000000001</v>
      </c>
      <c r="D24" s="118">
        <v>137.98699999999999</v>
      </c>
      <c r="E24" s="118">
        <v>137.99100000000001</v>
      </c>
      <c r="F24" s="118">
        <v>138.02000000000001</v>
      </c>
    </row>
    <row r="25" spans="1:16" ht="16" thickBot="1" x14ac:dyDescent="0.25">
      <c r="B25" s="9">
        <v>6</v>
      </c>
      <c r="C25" s="10">
        <v>7</v>
      </c>
      <c r="D25" s="10">
        <v>8</v>
      </c>
      <c r="E25" s="10">
        <v>9</v>
      </c>
      <c r="F25" s="12">
        <v>10</v>
      </c>
    </row>
    <row r="26" spans="1:16" ht="16" thickBot="1" x14ac:dyDescent="0.25">
      <c r="A26" t="s">
        <v>21</v>
      </c>
      <c r="B26" s="118"/>
      <c r="C26" s="118"/>
      <c r="D26" s="118"/>
      <c r="E26" s="118"/>
      <c r="F26" s="118"/>
    </row>
    <row r="27" spans="1:16" ht="16" thickBot="1" x14ac:dyDescent="0.25">
      <c r="A27" t="s">
        <v>21</v>
      </c>
      <c r="B27" s="9">
        <v>11</v>
      </c>
      <c r="C27" s="10">
        <v>12</v>
      </c>
      <c r="D27" s="10">
        <v>13</v>
      </c>
      <c r="E27" s="10">
        <v>14</v>
      </c>
      <c r="F27" s="12">
        <v>15</v>
      </c>
    </row>
    <row r="28" spans="1:16" ht="16" thickBot="1" x14ac:dyDescent="0.25">
      <c r="B28" s="118">
        <v>137.98599999999999</v>
      </c>
      <c r="C28" s="118">
        <v>137.97999999999999</v>
      </c>
      <c r="D28" s="118">
        <v>137.99199999999999</v>
      </c>
      <c r="E28" s="118">
        <v>137.99700000000001</v>
      </c>
      <c r="F28" s="118">
        <v>138.00899999999999</v>
      </c>
    </row>
    <row r="29" spans="1:16" ht="16" thickBot="1" x14ac:dyDescent="0.25">
      <c r="B29" s="9">
        <v>16</v>
      </c>
      <c r="C29" s="10">
        <v>17</v>
      </c>
      <c r="D29" s="10">
        <v>18</v>
      </c>
      <c r="E29" s="10">
        <v>19</v>
      </c>
      <c r="F29" s="12">
        <v>20</v>
      </c>
    </row>
    <row r="30" spans="1:16" ht="16" thickBot="1" x14ac:dyDescent="0.25">
      <c r="B30" s="118"/>
      <c r="C30" s="118"/>
      <c r="D30" s="118"/>
      <c r="E30" s="118"/>
      <c r="F30" s="118"/>
    </row>
    <row r="31" spans="1:16" ht="16" thickBot="1" x14ac:dyDescent="0.25">
      <c r="B31" s="9">
        <v>21</v>
      </c>
      <c r="C31" s="10">
        <v>22</v>
      </c>
      <c r="D31" s="10">
        <v>23</v>
      </c>
      <c r="E31" s="10">
        <v>24</v>
      </c>
      <c r="F31" s="10">
        <v>25</v>
      </c>
    </row>
    <row r="32" spans="1:16" ht="16" thickBot="1" x14ac:dyDescent="0.25">
      <c r="B32" s="118"/>
      <c r="C32" s="118"/>
      <c r="D32" s="118"/>
      <c r="E32" s="118"/>
      <c r="F32" s="118"/>
    </row>
    <row r="33" spans="1:6" ht="16" thickBot="1" x14ac:dyDescent="0.25">
      <c r="B33" s="9">
        <v>26</v>
      </c>
      <c r="C33" s="10">
        <v>27</v>
      </c>
      <c r="D33" s="10">
        <v>28</v>
      </c>
      <c r="E33" s="10">
        <v>29</v>
      </c>
      <c r="F33" s="10">
        <v>30</v>
      </c>
    </row>
    <row r="34" spans="1:6" ht="16" thickBot="1" x14ac:dyDescent="0.25">
      <c r="B34" s="118"/>
      <c r="C34" s="118"/>
      <c r="D34" s="118" t="s">
        <v>21</v>
      </c>
      <c r="E34" s="118"/>
      <c r="F34" s="118"/>
    </row>
    <row r="35" spans="1:6" ht="17" thickTop="1" thickBot="1" x14ac:dyDescent="0.25">
      <c r="B35" s="13" t="s">
        <v>3</v>
      </c>
      <c r="C35" s="14"/>
      <c r="D35" s="14"/>
      <c r="E35" s="15"/>
      <c r="F35" s="16"/>
    </row>
    <row r="36" spans="1:6" ht="16" thickTop="1" x14ac:dyDescent="0.2"/>
    <row r="37" spans="1:6" ht="16" thickBot="1" x14ac:dyDescent="0.25">
      <c r="A37" s="17" t="s">
        <v>4</v>
      </c>
      <c r="B37" s="18"/>
      <c r="C37" s="18"/>
      <c r="D37" s="18"/>
      <c r="E37" s="18"/>
    </row>
    <row r="38" spans="1:6" x14ac:dyDescent="0.2">
      <c r="A38" s="19" t="s">
        <v>5</v>
      </c>
      <c r="B38" s="20"/>
      <c r="C38" s="20"/>
      <c r="D38" s="20"/>
      <c r="E38" s="21"/>
    </row>
    <row r="39" spans="1:6" x14ac:dyDescent="0.2">
      <c r="A39" s="120" t="s">
        <v>6</v>
      </c>
      <c r="B39" s="121"/>
      <c r="C39" s="121"/>
      <c r="D39" s="122"/>
      <c r="E39" s="119">
        <v>10</v>
      </c>
    </row>
    <row r="40" spans="1:6" x14ac:dyDescent="0.2">
      <c r="A40" s="22" t="s">
        <v>7</v>
      </c>
      <c r="B40" s="23"/>
      <c r="C40" s="23"/>
      <c r="D40" s="24"/>
      <c r="E40" s="25">
        <f>IF(E39&lt;2,T(E55),AVERAGE(B24:F24,B26:F26,B28:F28,B30:F30,B32:F32,B34:F34))</f>
        <v>138</v>
      </c>
    </row>
    <row r="41" spans="1:6" x14ac:dyDescent="0.2">
      <c r="A41" s="22" t="s">
        <v>8</v>
      </c>
      <c r="B41" s="23"/>
      <c r="C41" s="23"/>
      <c r="D41" s="24"/>
      <c r="E41" s="26">
        <f>IF(E40="neměřeno",T(E55),DEVSQ(B24:F24,B26:F26,B28:F28,B30:F30,B32:F32,B34:F34))</f>
        <v>2.2200000000013619E-3</v>
      </c>
    </row>
    <row r="42" spans="1:6" x14ac:dyDescent="0.2">
      <c r="A42" s="27" t="s">
        <v>9</v>
      </c>
      <c r="B42" s="23"/>
      <c r="C42" s="23"/>
      <c r="D42" s="24"/>
      <c r="E42" s="26">
        <f>IF(E41="neměřeno",T(E55),SQRT(E41/E39/(E39-1)))</f>
        <v>4.9665548085853035E-3</v>
      </c>
    </row>
    <row r="43" spans="1:6" x14ac:dyDescent="0.2">
      <c r="A43" s="27" t="s">
        <v>10</v>
      </c>
      <c r="B43" s="23"/>
      <c r="C43" s="23"/>
      <c r="D43" s="24"/>
      <c r="E43" s="28">
        <f>IF(E39&gt;=10,E54,CHOOSE(E39,E70,E46,E47,E48,E49,E50,E51,E52,E53,E63))</f>
        <v>1</v>
      </c>
    </row>
    <row r="44" spans="1:6" x14ac:dyDescent="0.2">
      <c r="A44" s="27" t="s">
        <v>11</v>
      </c>
      <c r="B44" s="23"/>
      <c r="C44" s="23"/>
      <c r="D44" s="24"/>
      <c r="E44" s="26">
        <f>E42*E43</f>
        <v>4.9665548085853035E-3</v>
      </c>
    </row>
    <row r="45" spans="1:6" x14ac:dyDescent="0.2">
      <c r="A45" s="27"/>
      <c r="B45" s="23"/>
      <c r="C45" s="23"/>
      <c r="D45" s="24"/>
      <c r="E45" s="26"/>
    </row>
    <row r="46" spans="1:6" x14ac:dyDescent="0.2">
      <c r="A46" s="22" t="s">
        <v>12</v>
      </c>
      <c r="B46" s="23"/>
      <c r="C46" s="23"/>
      <c r="D46" s="24"/>
      <c r="E46" s="28">
        <v>7</v>
      </c>
    </row>
    <row r="47" spans="1:6" x14ac:dyDescent="0.2">
      <c r="A47" s="22" t="s">
        <v>13</v>
      </c>
      <c r="B47" s="23"/>
      <c r="C47" s="23"/>
      <c r="D47" s="29"/>
      <c r="E47" s="28">
        <v>2.2999999999999998</v>
      </c>
    </row>
    <row r="48" spans="1:6" x14ac:dyDescent="0.2">
      <c r="A48" s="22" t="s">
        <v>14</v>
      </c>
      <c r="B48" s="23"/>
      <c r="C48" s="23"/>
      <c r="D48" s="29"/>
      <c r="E48" s="28">
        <v>1.7</v>
      </c>
    </row>
    <row r="49" spans="1:5" x14ac:dyDescent="0.2">
      <c r="A49" s="22" t="s">
        <v>15</v>
      </c>
      <c r="B49" s="23"/>
      <c r="C49" s="23"/>
      <c r="D49" s="29"/>
      <c r="E49" s="28">
        <v>1.4</v>
      </c>
    </row>
    <row r="50" spans="1:5" x14ac:dyDescent="0.2">
      <c r="A50" s="22" t="s">
        <v>16</v>
      </c>
      <c r="B50" s="23"/>
      <c r="C50" s="23"/>
      <c r="D50" s="29"/>
      <c r="E50" s="28">
        <v>1.3</v>
      </c>
    </row>
    <row r="51" spans="1:5" x14ac:dyDescent="0.2">
      <c r="A51" s="22" t="s">
        <v>17</v>
      </c>
      <c r="B51" s="23"/>
      <c r="C51" s="23"/>
      <c r="D51" s="29"/>
      <c r="E51" s="28">
        <v>1.3</v>
      </c>
    </row>
    <row r="52" spans="1:5" x14ac:dyDescent="0.2">
      <c r="A52" s="22" t="s">
        <v>18</v>
      </c>
      <c r="B52" s="23"/>
      <c r="C52" s="23"/>
      <c r="D52" s="29"/>
      <c r="E52" s="28">
        <v>1.2</v>
      </c>
    </row>
    <row r="53" spans="1:5" x14ac:dyDescent="0.2">
      <c r="A53" s="22" t="s">
        <v>19</v>
      </c>
      <c r="B53" s="23"/>
      <c r="C53" s="23"/>
      <c r="D53" s="29"/>
      <c r="E53" s="28">
        <v>1.2</v>
      </c>
    </row>
    <row r="54" spans="1:5" ht="16" thickBot="1" x14ac:dyDescent="0.25">
      <c r="A54" s="30" t="s">
        <v>20</v>
      </c>
      <c r="B54" s="31"/>
      <c r="C54" s="31"/>
      <c r="D54" s="32"/>
      <c r="E54" s="33">
        <v>1</v>
      </c>
    </row>
    <row r="55" spans="1:5" x14ac:dyDescent="0.2">
      <c r="E55" t="s">
        <v>102</v>
      </c>
    </row>
  </sheetData>
  <mergeCells count="2">
    <mergeCell ref="B17:F20"/>
    <mergeCell ref="C22:D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2"/>
  <sheetViews>
    <sheetView workbookViewId="0">
      <selection activeCell="B1" sqref="B1"/>
    </sheetView>
  </sheetViews>
  <sheetFormatPr baseColWidth="10" defaultColWidth="8.83203125" defaultRowHeight="15" x14ac:dyDescent="0.2"/>
  <cols>
    <col min="1" max="1" width="7.1640625" style="147" customWidth="1"/>
    <col min="3" max="3" width="18.5" customWidth="1"/>
    <col min="4" max="4" width="14" style="97" customWidth="1"/>
    <col min="5" max="5" width="11.83203125" customWidth="1"/>
    <col min="6" max="6" width="8" customWidth="1"/>
    <col min="7" max="7" width="2.1640625" customWidth="1"/>
    <col min="8" max="8" width="13.6640625" customWidth="1"/>
    <col min="9" max="9" width="13.5" customWidth="1"/>
    <col min="10" max="10" width="11.1640625" customWidth="1"/>
    <col min="11" max="11" width="12.5" customWidth="1"/>
    <col min="12" max="12" width="12" bestFit="1" customWidth="1"/>
    <col min="18" max="18" width="11.1640625" customWidth="1"/>
    <col min="19" max="19" width="1.83203125" customWidth="1"/>
  </cols>
  <sheetData>
    <row r="1" spans="1:13" x14ac:dyDescent="0.2">
      <c r="C1" s="166" t="s">
        <v>192</v>
      </c>
      <c r="D1" s="178"/>
      <c r="E1" s="167"/>
      <c r="F1" s="167"/>
      <c r="G1" s="167"/>
      <c r="H1" s="167"/>
      <c r="I1" s="167"/>
      <c r="J1" s="167"/>
    </row>
    <row r="3" spans="1:13" x14ac:dyDescent="0.2">
      <c r="C3" s="1" t="s">
        <v>122</v>
      </c>
      <c r="D3" s="168">
        <v>7</v>
      </c>
    </row>
    <row r="5" spans="1:13" x14ac:dyDescent="0.2">
      <c r="B5" s="158" t="s">
        <v>128</v>
      </c>
      <c r="C5" s="154" t="s">
        <v>125</v>
      </c>
      <c r="D5" s="155"/>
      <c r="I5" s="1" t="s">
        <v>127</v>
      </c>
      <c r="J5" s="1"/>
      <c r="K5" s="1"/>
      <c r="L5" s="1"/>
      <c r="M5" s="1"/>
    </row>
    <row r="7" spans="1:13" x14ac:dyDescent="0.2">
      <c r="A7" s="147">
        <f>(C7-$C$14)*1000000000</f>
        <v>-5.4442858207770506E-2</v>
      </c>
      <c r="C7" s="146">
        <v>1.0000718157929999E-2</v>
      </c>
      <c r="I7" s="151">
        <f t="shared" ref="I7:I13" si="0">(C7-$C$14)</f>
        <v>-5.4442858207770506E-11</v>
      </c>
      <c r="K7">
        <f t="shared" ref="K7:K13" si="1">(C7-$C$14)^2</f>
        <v>2.9640248098314043E-21</v>
      </c>
    </row>
    <row r="8" spans="1:13" x14ac:dyDescent="0.2">
      <c r="A8" s="147">
        <f t="shared" ref="A8:A13" si="2">(C8-$C$14)*1000000000</f>
        <v>-5.0072857318839148E-2</v>
      </c>
      <c r="C8" s="146">
        <v>1.00007181623E-2</v>
      </c>
      <c r="I8" s="151">
        <f t="shared" si="0"/>
        <v>-5.0072857318839148E-11</v>
      </c>
      <c r="K8">
        <f t="shared" si="1"/>
        <v>2.5072910400728232E-21</v>
      </c>
    </row>
    <row r="9" spans="1:13" x14ac:dyDescent="0.2">
      <c r="A9" s="147">
        <f t="shared" si="2"/>
        <v>-9.8328567510463927E-3</v>
      </c>
      <c r="C9" s="146">
        <v>1.0000718202540001E-2</v>
      </c>
      <c r="I9" s="151">
        <f t="shared" si="0"/>
        <v>-9.8328567510463927E-12</v>
      </c>
      <c r="K9">
        <f t="shared" si="1"/>
        <v>9.6685071886598621E-23</v>
      </c>
    </row>
    <row r="10" spans="1:13" x14ac:dyDescent="0.2">
      <c r="A10" s="147">
        <f t="shared" si="2"/>
        <v>3.4187142700092821E-2</v>
      </c>
      <c r="C10" s="146">
        <v>1.000071824656E-2</v>
      </c>
      <c r="I10" s="151">
        <f t="shared" si="0"/>
        <v>3.4187142700092821E-11</v>
      </c>
      <c r="K10">
        <f t="shared" si="1"/>
        <v>1.1687607259965098E-21</v>
      </c>
    </row>
    <row r="11" spans="1:13" x14ac:dyDescent="0.2">
      <c r="A11" s="147">
        <f t="shared" si="2"/>
        <v>3.8547142908185172E-2</v>
      </c>
      <c r="C11" s="146">
        <v>1.0000718250920001E-2</v>
      </c>
      <c r="I11" s="151">
        <f t="shared" si="0"/>
        <v>3.8547142908185172E-11</v>
      </c>
      <c r="K11">
        <f t="shared" si="1"/>
        <v>1.4858822263840504E-21</v>
      </c>
    </row>
    <row r="12" spans="1:13" x14ac:dyDescent="0.2">
      <c r="A12" s="147">
        <f t="shared" si="2"/>
        <v>1.8277141952682818E-2</v>
      </c>
      <c r="C12" s="146">
        <v>1.000071823065E-2</v>
      </c>
      <c r="E12" s="144" t="s">
        <v>124</v>
      </c>
      <c r="F12" s="144"/>
      <c r="I12" s="151">
        <f t="shared" si="0"/>
        <v>1.8277141952682818E-11</v>
      </c>
      <c r="J12" s="144" t="s">
        <v>124</v>
      </c>
      <c r="K12">
        <f t="shared" si="1"/>
        <v>3.340539179585183E-22</v>
      </c>
      <c r="L12" s="144" t="s">
        <v>124</v>
      </c>
    </row>
    <row r="13" spans="1:13" x14ac:dyDescent="0.2">
      <c r="A13" s="147">
        <f t="shared" si="2"/>
        <v>2.3337142981971759E-2</v>
      </c>
      <c r="C13" s="146">
        <v>1.0000718235710001E-2</v>
      </c>
      <c r="D13" s="152" t="s">
        <v>21</v>
      </c>
      <c r="E13" s="144" t="s">
        <v>123</v>
      </c>
      <c r="F13" s="144"/>
      <c r="I13" s="151">
        <f t="shared" si="0"/>
        <v>2.3337142981971759E-11</v>
      </c>
      <c r="J13" s="144" t="s">
        <v>123</v>
      </c>
      <c r="K13">
        <f t="shared" si="1"/>
        <v>5.4462224256099373E-22</v>
      </c>
      <c r="L13" s="144" t="s">
        <v>123</v>
      </c>
    </row>
    <row r="14" spans="1:13" x14ac:dyDescent="0.2">
      <c r="B14" s="1" t="s">
        <v>121</v>
      </c>
      <c r="C14" s="149">
        <f>AVERAGE(C7:C13)</f>
        <v>1.0000718212372858E-2</v>
      </c>
      <c r="D14" s="157">
        <f>STDEV(C7:C13)/SQRT(D3)</f>
        <v>1.4720669008712513E-11</v>
      </c>
      <c r="E14" s="153">
        <f>1000000000*D14/C14</f>
        <v>1.471961182797866</v>
      </c>
      <c r="I14" s="157">
        <f>SQRT(SUMSQ(I7:I13)/(D3*(D3-1)))</f>
        <v>1.4720669008712513E-11</v>
      </c>
      <c r="J14" s="153">
        <f>1000000000*I14/C14</f>
        <v>1.471961182797866</v>
      </c>
      <c r="K14" s="157">
        <f>SQRT(SUM(K7:K13)/(D3*(D3-1)))</f>
        <v>1.4720669008712513E-11</v>
      </c>
      <c r="L14" s="153">
        <f>1000000000*K14/C14</f>
        <v>1.471961182797866</v>
      </c>
    </row>
    <row r="15" spans="1:13" x14ac:dyDescent="0.2">
      <c r="I15" s="157">
        <f>SQRT(DEVSQ(C7:C13)/(D3*(D3-1)))</f>
        <v>1.4720669008712513E-11</v>
      </c>
      <c r="J15" s="153">
        <f>1000000000*I15/C14</f>
        <v>1.471961182797866</v>
      </c>
    </row>
    <row r="16" spans="1:13" x14ac:dyDescent="0.2">
      <c r="B16" s="158" t="s">
        <v>129</v>
      </c>
      <c r="C16" s="154" t="s">
        <v>126</v>
      </c>
      <c r="D16" s="155"/>
      <c r="E16" s="156"/>
    </row>
    <row r="17" spans="1:19" x14ac:dyDescent="0.2">
      <c r="E17" s="144" t="s">
        <v>21</v>
      </c>
      <c r="F17" s="144"/>
    </row>
    <row r="18" spans="1:19" x14ac:dyDescent="0.2">
      <c r="A18" s="147">
        <f>(C18-$C$25)*1000000000</f>
        <v>-0.25214412675833575</v>
      </c>
      <c r="C18" s="146">
        <v>1.0000717515689803E-2</v>
      </c>
      <c r="D18" s="97">
        <v>7.6318671345999714E-11</v>
      </c>
      <c r="E18" s="148">
        <f>1000000000*D18/C18</f>
        <v>7.6313195754470442</v>
      </c>
      <c r="F18" s="148"/>
    </row>
    <row r="19" spans="1:19" x14ac:dyDescent="0.2">
      <c r="A19" s="147">
        <f t="shared" ref="A19:A24" si="3">(C19-$C$25)*1000000000</f>
        <v>-0.11991213230699849</v>
      </c>
      <c r="C19" s="146">
        <v>1.0000717647921797E-2</v>
      </c>
      <c r="D19" s="97">
        <v>5.3150148100887937E-11</v>
      </c>
      <c r="E19" s="148">
        <f t="shared" ref="E19:E24" si="4">1000000000*D19/C19</f>
        <v>5.3146334065268634</v>
      </c>
      <c r="F19" s="148"/>
    </row>
    <row r="20" spans="1:19" x14ac:dyDescent="0.2">
      <c r="A20" s="147">
        <f t="shared" si="3"/>
        <v>-4.4096826884443274E-2</v>
      </c>
      <c r="C20" s="146">
        <v>1.0000717723737102E-2</v>
      </c>
      <c r="D20" s="97">
        <v>4.6783485785031302E-11</v>
      </c>
      <c r="E20" s="148">
        <f t="shared" si="4"/>
        <v>4.6780128264183309</v>
      </c>
      <c r="F20" s="148"/>
    </row>
    <row r="21" spans="1:19" x14ac:dyDescent="0.2">
      <c r="A21" s="147">
        <f t="shared" si="3"/>
        <v>4.7108272144269492E-2</v>
      </c>
      <c r="C21" s="146">
        <v>1.0000717814942202E-2</v>
      </c>
      <c r="D21" s="97">
        <v>6.2907988252515682E-11</v>
      </c>
      <c r="E21" s="148">
        <f t="shared" si="4"/>
        <v>6.2903472947235901</v>
      </c>
      <c r="F21" s="148"/>
    </row>
    <row r="22" spans="1:19" x14ac:dyDescent="0.2">
      <c r="A22" s="147">
        <f t="shared" si="3"/>
        <v>-0.15301513008048051</v>
      </c>
      <c r="C22" s="146">
        <v>1.0000717614818799E-2</v>
      </c>
      <c r="D22" s="97">
        <v>7.9452182946955047E-11</v>
      </c>
      <c r="E22" s="148">
        <f t="shared" si="4"/>
        <v>7.9446481749694549</v>
      </c>
      <c r="F22" s="148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</row>
    <row r="23" spans="1:19" x14ac:dyDescent="0.2">
      <c r="A23" s="147">
        <f t="shared" si="3"/>
        <v>0.22182277369109382</v>
      </c>
      <c r="C23" s="146">
        <v>1.0000717989656703E-2</v>
      </c>
      <c r="D23" s="97">
        <v>7.4338561147570548E-11</v>
      </c>
      <c r="E23" s="148">
        <f t="shared" si="4"/>
        <v>7.4333224098965305</v>
      </c>
      <c r="F23" s="148"/>
      <c r="G23" s="165"/>
      <c r="H23" s="154" t="s">
        <v>131</v>
      </c>
      <c r="I23" s="156"/>
      <c r="J23" s="156"/>
      <c r="K23" s="156"/>
      <c r="L23" s="156"/>
      <c r="M23" s="156"/>
      <c r="N23" s="156"/>
      <c r="O23" s="156"/>
      <c r="P23" s="156"/>
      <c r="Q23" s="156"/>
      <c r="R23" s="156"/>
      <c r="S23" s="165"/>
    </row>
    <row r="24" spans="1:19" x14ac:dyDescent="0.2">
      <c r="A24" s="147">
        <f t="shared" si="3"/>
        <v>0.30023717019489471</v>
      </c>
      <c r="C24" s="146">
        <v>1.00007180680711E-2</v>
      </c>
      <c r="D24" s="97">
        <v>6.1211760295480388E-11</v>
      </c>
      <c r="E24" s="148">
        <f t="shared" si="4"/>
        <v>6.120736519001448</v>
      </c>
      <c r="F24" s="148"/>
      <c r="G24" s="165"/>
      <c r="H24" s="154" t="s">
        <v>132</v>
      </c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65"/>
    </row>
    <row r="25" spans="1:19" x14ac:dyDescent="0.2">
      <c r="B25" s="1" t="s">
        <v>121</v>
      </c>
      <c r="C25" s="149">
        <f>AVERAGE(C18:C24)</f>
        <v>1.0000717767833929E-2</v>
      </c>
      <c r="D25" s="157">
        <f>STDEV(C18:C24)/SQRT(D3)</f>
        <v>7.6357653264568152E-11</v>
      </c>
      <c r="E25" s="164">
        <f>1000000000*D25/C25</f>
        <v>7.6352172951188662</v>
      </c>
      <c r="G25" s="165"/>
      <c r="S25" s="165"/>
    </row>
    <row r="26" spans="1:19" x14ac:dyDescent="0.2">
      <c r="G26" s="165"/>
      <c r="L26" s="144" t="s">
        <v>124</v>
      </c>
      <c r="M26" s="144" t="s">
        <v>120</v>
      </c>
      <c r="S26" s="165"/>
    </row>
    <row r="27" spans="1:19" x14ac:dyDescent="0.2">
      <c r="B27" s="158" t="s">
        <v>130</v>
      </c>
      <c r="C27" s="154" t="s">
        <v>193</v>
      </c>
      <c r="D27" s="155"/>
      <c r="E27" s="156"/>
      <c r="F27" s="156"/>
      <c r="G27" s="165"/>
      <c r="J27" s="154" t="s">
        <v>133</v>
      </c>
      <c r="K27" s="156"/>
      <c r="L27" s="159">
        <f>STDEV(C18:C24)/C25</f>
        <v>2.0200886168823775E-8</v>
      </c>
      <c r="M27" s="161">
        <f>L27*1000000000</f>
        <v>20.200886168823775</v>
      </c>
      <c r="S27" s="165"/>
    </row>
    <row r="28" spans="1:19" x14ac:dyDescent="0.2">
      <c r="G28" s="165"/>
      <c r="J28" s="1"/>
      <c r="L28" s="159" t="s">
        <v>21</v>
      </c>
      <c r="M28" s="160"/>
      <c r="S28" s="165"/>
    </row>
    <row r="29" spans="1:19" x14ac:dyDescent="0.2">
      <c r="A29" s="147">
        <f>(C29-$C$36)*1000000000</f>
        <v>1.1752228738781678</v>
      </c>
      <c r="C29" s="146">
        <v>1.0000722991100899E-2</v>
      </c>
      <c r="D29" s="97">
        <v>6.9133198864637053E-11</v>
      </c>
      <c r="G29" s="165"/>
      <c r="J29" s="154" t="s">
        <v>134</v>
      </c>
      <c r="K29" s="156"/>
      <c r="L29" s="159">
        <f>SQRT((STDEV(C29:C35))^2+(L27*C25)^2)/C36</f>
        <v>4.2281554384265797E-7</v>
      </c>
      <c r="M29" s="162">
        <f>L29*1000000000</f>
        <v>422.81554384265797</v>
      </c>
      <c r="S29" s="165"/>
    </row>
    <row r="30" spans="1:19" x14ac:dyDescent="0.2">
      <c r="A30" s="147">
        <f t="shared" ref="A30:A35" si="5">(C30-$C$36)*1000000000</f>
        <v>4.7020042737849765</v>
      </c>
      <c r="C30" s="146">
        <v>1.0000726517882299E-2</v>
      </c>
      <c r="D30" s="97">
        <v>5.7110583207639967E-11</v>
      </c>
      <c r="G30" s="165"/>
      <c r="S30" s="165"/>
    </row>
    <row r="31" spans="1:19" x14ac:dyDescent="0.2">
      <c r="A31" s="147">
        <f t="shared" si="5"/>
        <v>6.0086817726262565</v>
      </c>
      <c r="C31" s="146">
        <v>1.0000727824559798E-2</v>
      </c>
      <c r="D31" s="97">
        <v>1.4918625551020867E-10</v>
      </c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</row>
    <row r="32" spans="1:19" x14ac:dyDescent="0.2">
      <c r="A32" s="147">
        <f t="shared" si="5"/>
        <v>-0.11724763000764415</v>
      </c>
      <c r="C32" s="146">
        <v>1.0000721698630395E-2</v>
      </c>
      <c r="D32" s="97">
        <v>1.1297880207751985E-10</v>
      </c>
    </row>
    <row r="33" spans="1:6" x14ac:dyDescent="0.2">
      <c r="A33" s="147">
        <f t="shared" si="5"/>
        <v>-3.0111407291200099</v>
      </c>
      <c r="C33" s="146">
        <v>1.0000718804737296E-2</v>
      </c>
      <c r="D33" s="97">
        <v>9.7184480232158393E-11</v>
      </c>
    </row>
    <row r="34" spans="1:6" x14ac:dyDescent="0.2">
      <c r="A34" s="147">
        <f t="shared" si="5"/>
        <v>-4.4573323244173624</v>
      </c>
      <c r="C34" s="146">
        <v>1.0000717358545701E-2</v>
      </c>
      <c r="D34" s="97">
        <v>6.3953357703346197E-11</v>
      </c>
    </row>
    <row r="35" spans="1:6" x14ac:dyDescent="0.2">
      <c r="A35" s="147">
        <f t="shared" si="5"/>
        <v>-4.3001882228665966</v>
      </c>
      <c r="C35" s="146">
        <v>1.0000717515689803E-2</v>
      </c>
      <c r="D35" s="97">
        <v>7.6318671345999714E-11</v>
      </c>
    </row>
    <row r="36" spans="1:6" x14ac:dyDescent="0.2">
      <c r="B36" s="1" t="s">
        <v>121</v>
      </c>
      <c r="C36" s="150">
        <f>AVERAGE(C29:C35)</f>
        <v>1.0000721815878025E-2</v>
      </c>
      <c r="D36" s="157">
        <f>STDEV(C29:C35)/SQRT(D3)</f>
        <v>1.5963827812421811E-9</v>
      </c>
      <c r="E36" s="163">
        <f>1000000000*D36/C36</f>
        <v>159.62675601151344</v>
      </c>
      <c r="F36" s="163"/>
    </row>
    <row r="37" spans="1:6" ht="17.25" customHeight="1" x14ac:dyDescent="0.2"/>
    <row r="42" spans="1:6" ht="8.25" customHeight="1" x14ac:dyDescent="0.2"/>
  </sheetData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quation.3" shapeId="3073" r:id="rId3">
          <objectPr defaultSize="0" autoPict="0" r:id="rId4">
            <anchor moveWithCells="1" sizeWithCells="1">
              <from>
                <xdr:col>7</xdr:col>
                <xdr:colOff>0</xdr:colOff>
                <xdr:row>25</xdr:row>
                <xdr:rowOff>0</xdr:rowOff>
              </from>
              <to>
                <xdr:col>7</xdr:col>
                <xdr:colOff>1193800</xdr:colOff>
                <xdr:row>25</xdr:row>
                <xdr:rowOff>317500</xdr:rowOff>
              </to>
            </anchor>
          </objectPr>
        </oleObject>
      </mc:Choice>
      <mc:Fallback>
        <oleObject progId="Equation.3" shapeId="3073" r:id="rId3"/>
      </mc:Fallback>
    </mc:AlternateContent>
    <mc:AlternateContent xmlns:mc="http://schemas.openxmlformats.org/markup-compatibility/2006">
      <mc:Choice Requires="x14">
        <oleObject progId="Equation.3" shapeId="3074" r:id="rId5">
          <objectPr defaultSize="0" autoPict="0" r:id="rId6">
            <anchor moveWithCells="1" sizeWithCells="1">
              <from>
                <xdr:col>7</xdr:col>
                <xdr:colOff>139700</xdr:colOff>
                <xdr:row>25</xdr:row>
                <xdr:rowOff>419100</xdr:rowOff>
              </from>
              <to>
                <xdr:col>7</xdr:col>
                <xdr:colOff>1041400</xdr:colOff>
                <xdr:row>27</xdr:row>
                <xdr:rowOff>63500</xdr:rowOff>
              </to>
            </anchor>
          </objectPr>
        </oleObject>
      </mc:Choice>
      <mc:Fallback>
        <oleObject progId="Equation.3" shapeId="3074" r:id="rId5"/>
      </mc:Fallback>
    </mc:AlternateContent>
    <mc:AlternateContent xmlns:mc="http://schemas.openxmlformats.org/markup-compatibility/2006">
      <mc:Choice Requires="x14">
        <oleObject progId="Equation.3" shapeId="3075" r:id="rId7">
          <objectPr defaultSize="0" autoPict="0" r:id="rId8">
            <anchor moveWithCells="1" sizeWithCells="1">
              <from>
                <xdr:col>7</xdr:col>
                <xdr:colOff>0</xdr:colOff>
                <xdr:row>28</xdr:row>
                <xdr:rowOff>0</xdr:rowOff>
              </from>
              <to>
                <xdr:col>8</xdr:col>
                <xdr:colOff>228600</xdr:colOff>
                <xdr:row>29</xdr:row>
                <xdr:rowOff>101600</xdr:rowOff>
              </to>
            </anchor>
          </objectPr>
        </oleObject>
      </mc:Choice>
      <mc:Fallback>
        <oleObject progId="Equation.3" shapeId="3075" r:id="rId7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/>
  </sheetViews>
  <sheetFormatPr baseColWidth="10" defaultColWidth="8.83203125" defaultRowHeight="15" x14ac:dyDescent="0.2"/>
  <cols>
    <col min="3" max="3" width="11.5" bestFit="1" customWidth="1"/>
    <col min="4" max="4" width="15.5" customWidth="1"/>
    <col min="5" max="5" width="11.5" bestFit="1" customWidth="1"/>
    <col min="7" max="7" width="9.83203125" bestFit="1" customWidth="1"/>
    <col min="8" max="8" width="12.6640625" customWidth="1"/>
    <col min="9" max="9" width="12.83203125" customWidth="1"/>
    <col min="10" max="10" width="12.33203125" customWidth="1"/>
    <col min="11" max="11" width="3.5" customWidth="1"/>
  </cols>
  <sheetData>
    <row r="1" spans="2:13" x14ac:dyDescent="0.2">
      <c r="C1" s="166" t="s">
        <v>194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3" spans="2:13" x14ac:dyDescent="0.2">
      <c r="B3" t="s">
        <v>107</v>
      </c>
      <c r="E3" s="124">
        <v>1</v>
      </c>
    </row>
    <row r="4" spans="2:13" x14ac:dyDescent="0.2">
      <c r="H4" s="1" t="s">
        <v>139</v>
      </c>
    </row>
    <row r="5" spans="2:13" x14ac:dyDescent="0.2">
      <c r="B5" s="131" t="s">
        <v>189</v>
      </c>
      <c r="C5" s="1"/>
      <c r="D5" s="1"/>
      <c r="E5" s="124">
        <v>138.6</v>
      </c>
      <c r="H5" s="1" t="s">
        <v>136</v>
      </c>
    </row>
    <row r="6" spans="2:13" x14ac:dyDescent="0.2">
      <c r="G6" s="144" t="s">
        <v>190</v>
      </c>
      <c r="H6" s="177">
        <f>IF(E3=1,(-D9+SQRT((D9*D9)-4*E9*(1-E5/C9)))/(2*E9),(-D10+SQRT((D10*D10)-4*E10*(1-E5/C10)))/(2*E10))</f>
        <v>100.05379436324677</v>
      </c>
      <c r="I6" s="41">
        <f>IF(E3=1,(-D9+SQRT((D9*D9)-4*E9*(1-1.001*E5/C9)))/(2*E9),(-D10+SQRT((D10*D10)-4*E10*(1-1.001*E5/C10)))/(2*E10))</f>
        <v>100.41859419183845</v>
      </c>
      <c r="J6" s="41">
        <f>IF(E3=1,(-D9+SQRT((D9*D9)-4*E9*(1-0.999*E5/C9)))/(2*E9),(-D10+SQRT((D10*D10)-4*E10*(1-0.999*E5/C10)))/(2*E10))</f>
        <v>99.689035534075245</v>
      </c>
    </row>
    <row r="7" spans="2:13" x14ac:dyDescent="0.2">
      <c r="B7" s="35" t="s">
        <v>22</v>
      </c>
      <c r="C7" s="35"/>
      <c r="D7" s="35"/>
      <c r="E7" s="35"/>
      <c r="J7" s="176">
        <f>(I6-J6)/(1.001*E5-0.999*E5)</f>
        <v>2.6318854897663195</v>
      </c>
      <c r="L7" s="169" t="s">
        <v>140</v>
      </c>
    </row>
    <row r="8" spans="2:13" x14ac:dyDescent="0.2">
      <c r="B8" s="36"/>
      <c r="C8" s="35" t="s">
        <v>23</v>
      </c>
      <c r="D8" s="35" t="s">
        <v>24</v>
      </c>
      <c r="E8" s="35" t="s">
        <v>25</v>
      </c>
      <c r="H8" t="s">
        <v>21</v>
      </c>
      <c r="J8" s="175">
        <f>1/J7</f>
        <v>0.37995574043336827</v>
      </c>
      <c r="L8" s="169" t="s">
        <v>141</v>
      </c>
    </row>
    <row r="9" spans="2:13" x14ac:dyDescent="0.2">
      <c r="B9" s="36" t="s">
        <v>26</v>
      </c>
      <c r="C9" s="38">
        <v>99.998000000000005</v>
      </c>
      <c r="D9" s="39">
        <v>3.91677E-3</v>
      </c>
      <c r="E9" s="39">
        <v>-5.85368E-7</v>
      </c>
    </row>
    <row r="10" spans="2:13" x14ac:dyDescent="0.2">
      <c r="B10" s="36" t="s">
        <v>27</v>
      </c>
      <c r="C10" s="38">
        <v>500.02100000000002</v>
      </c>
      <c r="D10" s="39">
        <v>3.9168800000000002E-3</v>
      </c>
      <c r="E10" s="39">
        <v>-5.8545799999999995E-7</v>
      </c>
      <c r="I10" s="1" t="s">
        <v>137</v>
      </c>
    </row>
    <row r="11" spans="2:13" x14ac:dyDescent="0.2">
      <c r="B11" s="34"/>
      <c r="I11" s="37">
        <f>1.001*H6</f>
        <v>100.15384815761</v>
      </c>
      <c r="J11" s="37">
        <f>0.999*H6</f>
        <v>99.953740568883518</v>
      </c>
    </row>
    <row r="12" spans="2:13" x14ac:dyDescent="0.2">
      <c r="H12" s="144" t="s">
        <v>191</v>
      </c>
      <c r="I12" s="40">
        <f>((C9*E3)+(1-E3)*C10)*(E3*(1+D9*I11+E9*I11^2)+(1-E3)*(1+D10*I11+E10*I11^2))</f>
        <v>138.63801542777438</v>
      </c>
      <c r="J12" s="40">
        <f>((C9*E3)+(1-E3)*C10)*(E3*(1+D9*J11+E9*J11^2)+(1-E3)*(1+D10*J11+E10*J11^2))</f>
        <v>138.56198340025321</v>
      </c>
    </row>
    <row r="13" spans="2:13" x14ac:dyDescent="0.2">
      <c r="B13" t="s">
        <v>21</v>
      </c>
      <c r="J13" s="175">
        <f>(I12-J12)/(I11-J11)</f>
        <v>0.37995574283337274</v>
      </c>
      <c r="L13" s="169" t="s">
        <v>141</v>
      </c>
    </row>
    <row r="14" spans="2:13" x14ac:dyDescent="0.2">
      <c r="J14" s="176">
        <f>1/J13</f>
        <v>2.6318854731419177</v>
      </c>
      <c r="L14" s="169" t="s">
        <v>140</v>
      </c>
    </row>
    <row r="16" spans="2:13" x14ac:dyDescent="0.2">
      <c r="H16" s="1" t="s">
        <v>138</v>
      </c>
    </row>
    <row r="17" spans="1:12" x14ac:dyDescent="0.2">
      <c r="J17" s="175">
        <f>((C9*E3)+(1-E3)*C10)*(E3*(D9+E9*2*H6)+(1-E3)*(D10+E10*2*H6))</f>
        <v>0.37995574283339301</v>
      </c>
      <c r="L17" s="169" t="s">
        <v>142</v>
      </c>
    </row>
    <row r="18" spans="1:12" x14ac:dyDescent="0.2">
      <c r="J18" s="176">
        <f>1/J17</f>
        <v>2.6318854731417773</v>
      </c>
      <c r="L18" s="169" t="s">
        <v>143</v>
      </c>
    </row>
    <row r="20" spans="1:12" x14ac:dyDescent="0.2">
      <c r="A20" s="41"/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9"/>
  <sheetViews>
    <sheetView workbookViewId="0"/>
  </sheetViews>
  <sheetFormatPr baseColWidth="10" defaultColWidth="8.83203125" defaultRowHeight="15" x14ac:dyDescent="0.2"/>
  <cols>
    <col min="2" max="2" width="24.5" style="1" customWidth="1"/>
    <col min="4" max="4" width="4.5" customWidth="1"/>
    <col min="5" max="5" width="6" style="148" customWidth="1"/>
    <col min="6" max="6" width="4.5" style="130" customWidth="1"/>
    <col min="7" max="7" width="5.83203125" style="148" customWidth="1"/>
    <col min="18" max="18" width="13.5" customWidth="1"/>
  </cols>
  <sheetData>
    <row r="1" spans="2:19" x14ac:dyDescent="0.2">
      <c r="C1" s="166" t="s">
        <v>198</v>
      </c>
      <c r="D1" s="167"/>
      <c r="E1" s="179"/>
      <c r="F1" s="180"/>
      <c r="G1" s="179"/>
      <c r="H1" s="167"/>
      <c r="I1" s="167"/>
    </row>
    <row r="3" spans="2:19" x14ac:dyDescent="0.2">
      <c r="D3" s="123" t="s">
        <v>195</v>
      </c>
      <c r="E3" s="173"/>
      <c r="F3" s="124"/>
      <c r="G3" s="173"/>
      <c r="H3" s="114"/>
      <c r="I3" s="114"/>
      <c r="J3" s="114"/>
      <c r="K3" s="114"/>
      <c r="O3" s="123" t="s">
        <v>148</v>
      </c>
      <c r="P3" s="114"/>
      <c r="Q3" s="114"/>
      <c r="R3" s="114"/>
    </row>
    <row r="4" spans="2:19" x14ac:dyDescent="0.2">
      <c r="O4" s="1" t="s">
        <v>152</v>
      </c>
      <c r="R4" s="170"/>
    </row>
    <row r="5" spans="2:19" x14ac:dyDescent="0.2">
      <c r="B5" s="1" t="s">
        <v>153</v>
      </c>
      <c r="E5" s="179">
        <v>2</v>
      </c>
      <c r="F5" s="180" t="s">
        <v>160</v>
      </c>
      <c r="G5" s="179">
        <v>3</v>
      </c>
      <c r="O5" s="116" t="s">
        <v>150</v>
      </c>
      <c r="P5" s="116" t="s">
        <v>149</v>
      </c>
      <c r="Q5" s="116"/>
      <c r="R5" s="191" t="s">
        <v>144</v>
      </c>
      <c r="S5" s="191"/>
    </row>
    <row r="6" spans="2:19" x14ac:dyDescent="0.2">
      <c r="O6" s="116" t="s">
        <v>145</v>
      </c>
      <c r="P6" s="116" t="s">
        <v>146</v>
      </c>
      <c r="Q6" s="116"/>
      <c r="R6" s="116" t="s">
        <v>147</v>
      </c>
      <c r="S6" s="116" t="s">
        <v>151</v>
      </c>
    </row>
    <row r="7" spans="2:19" x14ac:dyDescent="0.2">
      <c r="B7" s="1" t="s">
        <v>154</v>
      </c>
      <c r="E7" s="179">
        <f>SQRT(3)</f>
        <v>1.7320508075688772</v>
      </c>
      <c r="O7" s="116">
        <v>2</v>
      </c>
      <c r="P7" s="116">
        <f>O7-1</f>
        <v>1</v>
      </c>
      <c r="Q7" s="171">
        <f>TINV(0.0455,P7)</f>
        <v>13.96781148750258</v>
      </c>
      <c r="R7" s="172">
        <f t="shared" ref="R7:R19" si="0">(Q7/2)</f>
        <v>6.9839057437512899</v>
      </c>
      <c r="S7" s="136">
        <v>7</v>
      </c>
    </row>
    <row r="8" spans="2:19" x14ac:dyDescent="0.2">
      <c r="O8" s="116">
        <v>3</v>
      </c>
      <c r="P8" s="116">
        <f t="shared" ref="P8:P19" si="1">O8-1</f>
        <v>2</v>
      </c>
      <c r="Q8" s="171">
        <f t="shared" ref="Q8:Q19" si="2">TINV(0.0455,P8)</f>
        <v>4.5265507600819905</v>
      </c>
      <c r="R8" s="172">
        <f t="shared" si="0"/>
        <v>2.2632753800409953</v>
      </c>
      <c r="S8" s="136">
        <v>2.2999999999999998</v>
      </c>
    </row>
    <row r="9" spans="2:19" x14ac:dyDescent="0.2">
      <c r="B9" s="1" t="s">
        <v>155</v>
      </c>
      <c r="E9" s="179">
        <f>SQRT(6)</f>
        <v>2.4494897427831779</v>
      </c>
      <c r="O9" s="116">
        <v>4</v>
      </c>
      <c r="P9" s="116">
        <f t="shared" si="1"/>
        <v>3</v>
      </c>
      <c r="Q9" s="171">
        <f t="shared" si="2"/>
        <v>3.3068299207201113</v>
      </c>
      <c r="R9" s="172">
        <f t="shared" si="0"/>
        <v>1.6534149603600556</v>
      </c>
      <c r="S9" s="136">
        <v>1.7</v>
      </c>
    </row>
    <row r="10" spans="2:19" x14ac:dyDescent="0.2">
      <c r="O10" s="116">
        <v>5</v>
      </c>
      <c r="P10" s="116">
        <f t="shared" si="1"/>
        <v>4</v>
      </c>
      <c r="Q10" s="171">
        <f t="shared" si="2"/>
        <v>2.8693151696963848</v>
      </c>
      <c r="R10" s="172">
        <f t="shared" si="0"/>
        <v>1.4346575848481924</v>
      </c>
      <c r="S10" s="136">
        <v>1.4</v>
      </c>
    </row>
    <row r="11" spans="2:19" x14ac:dyDescent="0.2">
      <c r="B11" s="1" t="s">
        <v>156</v>
      </c>
      <c r="E11" s="179">
        <v>2.04</v>
      </c>
      <c r="F11" s="180" t="s">
        <v>160</v>
      </c>
      <c r="G11" s="179">
        <v>2.3199999999999998</v>
      </c>
      <c r="O11" s="116">
        <v>6</v>
      </c>
      <c r="P11" s="116">
        <f t="shared" si="1"/>
        <v>5</v>
      </c>
      <c r="Q11" s="171">
        <f t="shared" si="2"/>
        <v>2.6486542542831191</v>
      </c>
      <c r="R11" s="172">
        <f t="shared" si="0"/>
        <v>1.3243271271415595</v>
      </c>
      <c r="S11" s="136">
        <v>1.3</v>
      </c>
    </row>
    <row r="12" spans="2:19" x14ac:dyDescent="0.2">
      <c r="O12" s="116">
        <v>7</v>
      </c>
      <c r="P12" s="116">
        <f t="shared" si="1"/>
        <v>6</v>
      </c>
      <c r="Q12" s="171">
        <f t="shared" si="2"/>
        <v>2.5165283481216276</v>
      </c>
      <c r="R12" s="172">
        <f t="shared" si="0"/>
        <v>1.2582641740608138</v>
      </c>
      <c r="S12" s="136">
        <v>1.3</v>
      </c>
    </row>
    <row r="13" spans="2:19" x14ac:dyDescent="0.2">
      <c r="B13" s="1" t="s">
        <v>157</v>
      </c>
      <c r="E13" s="179">
        <f>SQRT(2)</f>
        <v>1.4142135623730951</v>
      </c>
      <c r="O13" s="116">
        <v>8</v>
      </c>
      <c r="P13" s="116">
        <f t="shared" si="1"/>
        <v>7</v>
      </c>
      <c r="Q13" s="171">
        <f t="shared" si="2"/>
        <v>2.428809082234241</v>
      </c>
      <c r="R13" s="172">
        <f t="shared" si="0"/>
        <v>1.2144045411171205</v>
      </c>
      <c r="S13" s="136">
        <v>1.2</v>
      </c>
    </row>
    <row r="14" spans="2:19" x14ac:dyDescent="0.2">
      <c r="O14" s="116">
        <v>9</v>
      </c>
      <c r="P14" s="116">
        <f t="shared" si="1"/>
        <v>8</v>
      </c>
      <c r="Q14" s="171">
        <f t="shared" si="2"/>
        <v>2.3664194997430683</v>
      </c>
      <c r="R14" s="172">
        <f t="shared" si="0"/>
        <v>1.1832097498715342</v>
      </c>
      <c r="S14" s="136">
        <v>1.2</v>
      </c>
    </row>
    <row r="15" spans="2:19" x14ac:dyDescent="0.2">
      <c r="B15" s="1" t="s">
        <v>158</v>
      </c>
      <c r="E15" s="179">
        <v>1</v>
      </c>
      <c r="O15" s="116">
        <v>10</v>
      </c>
      <c r="P15" s="116">
        <f t="shared" si="1"/>
        <v>9</v>
      </c>
      <c r="Q15" s="171">
        <f t="shared" si="2"/>
        <v>2.3198094410224317</v>
      </c>
      <c r="R15" s="172">
        <f t="shared" si="0"/>
        <v>1.1599047205112158</v>
      </c>
      <c r="S15" s="136">
        <v>1</v>
      </c>
    </row>
    <row r="16" spans="2:19" x14ac:dyDescent="0.2">
      <c r="O16" s="116">
        <v>20</v>
      </c>
      <c r="P16" s="116">
        <f t="shared" si="1"/>
        <v>19</v>
      </c>
      <c r="Q16" s="171">
        <f t="shared" si="2"/>
        <v>2.1404966299111416</v>
      </c>
      <c r="R16" s="172">
        <f t="shared" si="0"/>
        <v>1.0702483149555708</v>
      </c>
      <c r="S16" s="136">
        <v>1</v>
      </c>
    </row>
    <row r="17" spans="2:19" x14ac:dyDescent="0.2">
      <c r="B17" s="1" t="s">
        <v>159</v>
      </c>
      <c r="E17" s="179">
        <f>SQRT(2)</f>
        <v>1.4142135623730951</v>
      </c>
      <c r="O17" s="116">
        <v>25</v>
      </c>
      <c r="P17" s="116">
        <f t="shared" si="1"/>
        <v>24</v>
      </c>
      <c r="Q17" s="171">
        <f t="shared" si="2"/>
        <v>2.1096988221167199</v>
      </c>
      <c r="R17" s="172">
        <f t="shared" si="0"/>
        <v>1.0548494110583599</v>
      </c>
      <c r="S17" s="136">
        <v>1</v>
      </c>
    </row>
    <row r="18" spans="2:19" x14ac:dyDescent="0.2">
      <c r="O18" s="116">
        <v>30</v>
      </c>
      <c r="P18" s="116">
        <f t="shared" si="1"/>
        <v>29</v>
      </c>
      <c r="Q18" s="171">
        <f t="shared" si="2"/>
        <v>2.0899710226337835</v>
      </c>
      <c r="R18" s="172">
        <f t="shared" si="0"/>
        <v>1.0449855113168918</v>
      </c>
      <c r="S18" s="136">
        <v>1</v>
      </c>
    </row>
    <row r="19" spans="2:19" x14ac:dyDescent="0.2">
      <c r="O19" s="116">
        <v>50</v>
      </c>
      <c r="P19" s="116">
        <f t="shared" si="1"/>
        <v>49</v>
      </c>
      <c r="Q19" s="171">
        <f t="shared" si="2"/>
        <v>2.0523231581424759</v>
      </c>
      <c r="R19" s="172">
        <f t="shared" si="0"/>
        <v>1.026161579071238</v>
      </c>
      <c r="S19" s="136">
        <v>1</v>
      </c>
    </row>
  </sheetData>
  <mergeCells count="1">
    <mergeCell ref="R5:S5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26"/>
  <sheetViews>
    <sheetView workbookViewId="0"/>
  </sheetViews>
  <sheetFormatPr baseColWidth="10" defaultColWidth="8.83203125" defaultRowHeight="15" x14ac:dyDescent="0.2"/>
  <cols>
    <col min="2" max="2" width="28.1640625" customWidth="1"/>
    <col min="5" max="5" width="10.33203125" customWidth="1"/>
    <col min="6" max="6" width="11" customWidth="1"/>
    <col min="7" max="7" width="11.33203125" customWidth="1"/>
    <col min="9" max="9" width="11.1640625" customWidth="1"/>
  </cols>
  <sheetData>
    <row r="2" spans="2:19" ht="16" x14ac:dyDescent="0.2">
      <c r="C2" s="42" t="s">
        <v>161</v>
      </c>
      <c r="L2" s="43"/>
      <c r="M2" s="44"/>
      <c r="N2" s="44"/>
      <c r="O2" s="44"/>
      <c r="P2" s="44"/>
      <c r="Q2" s="44"/>
      <c r="R2" s="44"/>
      <c r="S2" s="45"/>
    </row>
    <row r="3" spans="2:19" x14ac:dyDescent="0.2">
      <c r="L3" s="46"/>
      <c r="M3" s="34" t="s">
        <v>166</v>
      </c>
      <c r="N3" s="34"/>
      <c r="O3" s="34"/>
      <c r="P3" s="34"/>
      <c r="Q3" s="34"/>
      <c r="R3" s="34"/>
      <c r="S3" s="47"/>
    </row>
    <row r="4" spans="2:19" x14ac:dyDescent="0.2">
      <c r="B4" s="135" t="s">
        <v>28</v>
      </c>
      <c r="E4" s="174" t="s">
        <v>164</v>
      </c>
      <c r="F4" s="1"/>
      <c r="L4" s="46"/>
      <c r="M4" s="48"/>
      <c r="N4" s="48"/>
      <c r="O4" s="48"/>
      <c r="P4" s="48"/>
      <c r="Q4" s="48"/>
      <c r="R4" s="48"/>
      <c r="S4" s="47"/>
    </row>
    <row r="5" spans="2:19" x14ac:dyDescent="0.2">
      <c r="B5" s="1" t="s">
        <v>114</v>
      </c>
      <c r="C5" s="51">
        <v>0</v>
      </c>
      <c r="E5" s="115" t="s">
        <v>51</v>
      </c>
      <c r="F5" s="115" t="s">
        <v>52</v>
      </c>
      <c r="L5" s="46"/>
      <c r="M5" s="34">
        <f>C10/(C5*100+(1-C5)*500)</f>
        <v>1.3089788</v>
      </c>
      <c r="N5" s="34">
        <f>(C10+(C10/1000))/(C5*100+(1-C5)*500)</f>
        <v>1.3102877788</v>
      </c>
      <c r="O5" s="34">
        <f>(C10-(C10/1000))/(C5*100+(1-C5)*500)</f>
        <v>1.3076698212000002</v>
      </c>
      <c r="P5" s="48"/>
      <c r="Q5" s="48"/>
      <c r="R5" s="48"/>
      <c r="S5" s="47"/>
    </row>
    <row r="6" spans="2:19" x14ac:dyDescent="0.2">
      <c r="E6" s="51">
        <v>80</v>
      </c>
      <c r="F6" s="132">
        <f>(C5*100+(1-C5)*500)*(1+M6*E6+N6*E6^2)</f>
        <v>345.51599999999996</v>
      </c>
      <c r="L6" s="46"/>
      <c r="M6" s="50">
        <v>-3.9083E-3</v>
      </c>
      <c r="N6" s="50">
        <v>5.7749999999999998E-7</v>
      </c>
      <c r="O6" s="34">
        <f>(C5*100+(1-C5)*500)*(N5-O5)</f>
        <v>1.3089787999999158</v>
      </c>
      <c r="P6" s="48"/>
      <c r="Q6" s="48"/>
      <c r="R6" s="48"/>
      <c r="S6" s="47"/>
    </row>
    <row r="7" spans="2:19" x14ac:dyDescent="0.2">
      <c r="L7" s="46"/>
      <c r="M7" s="34" t="s">
        <v>32</v>
      </c>
      <c r="N7" s="34"/>
      <c r="O7" s="34">
        <f>(N8-O8)/O6</f>
        <v>0.52412320137213186</v>
      </c>
      <c r="P7" s="48"/>
      <c r="Q7" s="48"/>
      <c r="R7" s="48"/>
      <c r="S7" s="47"/>
    </row>
    <row r="8" spans="2:19" x14ac:dyDescent="0.2">
      <c r="L8" s="46"/>
      <c r="M8" s="52">
        <f>(M6+SQRT((M6*M6)+4*N6*(1-M5)))/(-2*N6)</f>
        <v>80.002830264059696</v>
      </c>
      <c r="N8" s="53">
        <f>(M6+SQRT((M6*M6)+4*N6*(1-N5)))/(-2*N6)</f>
        <v>80.345881152153652</v>
      </c>
      <c r="O8" s="53">
        <f>(M6+SQRT((M6*M6)+4*N6*(1-O5)))/(-2*N6)</f>
        <v>79.659814992969444</v>
      </c>
      <c r="P8" s="48"/>
      <c r="Q8" s="48"/>
      <c r="R8" s="48"/>
      <c r="S8" s="47"/>
    </row>
    <row r="9" spans="2:19" ht="16" x14ac:dyDescent="0.2">
      <c r="C9" s="134" t="s">
        <v>108</v>
      </c>
      <c r="D9" s="134" t="s">
        <v>109</v>
      </c>
      <c r="E9" s="134" t="s">
        <v>183</v>
      </c>
      <c r="F9" s="134" t="s">
        <v>110</v>
      </c>
      <c r="G9" s="134" t="s">
        <v>111</v>
      </c>
      <c r="I9" s="2" t="s">
        <v>35</v>
      </c>
      <c r="L9" s="46"/>
      <c r="N9" s="48"/>
      <c r="O9" s="48"/>
      <c r="P9" s="48"/>
      <c r="Q9" s="48"/>
      <c r="R9" s="48"/>
      <c r="S9" s="47"/>
    </row>
    <row r="10" spans="2:19" x14ac:dyDescent="0.2">
      <c r="B10" s="2" t="s">
        <v>33</v>
      </c>
      <c r="C10" s="51">
        <f>C25</f>
        <v>654.48940000000005</v>
      </c>
      <c r="D10" s="49">
        <f>D23</f>
        <v>7.8502820000000001E-3</v>
      </c>
      <c r="E10" s="2" t="s">
        <v>184</v>
      </c>
      <c r="F10" s="2">
        <f>O7</f>
        <v>0.52412320137213186</v>
      </c>
      <c r="G10" s="2">
        <f>D10*F10</f>
        <v>4.1145149335140218E-3</v>
      </c>
      <c r="I10" s="2">
        <f>G10^2</f>
        <v>1.6929233138109895E-5</v>
      </c>
      <c r="L10" s="46"/>
      <c r="S10" s="47"/>
    </row>
    <row r="11" spans="2:19" x14ac:dyDescent="0.2">
      <c r="B11" s="2" t="s">
        <v>34</v>
      </c>
      <c r="C11" s="54">
        <v>0</v>
      </c>
      <c r="D11" s="49">
        <f>D24</f>
        <v>0.14722431864335456</v>
      </c>
      <c r="E11" s="2" t="s">
        <v>184</v>
      </c>
      <c r="F11" s="2">
        <f>O7</f>
        <v>0.52412320137213186</v>
      </c>
      <c r="G11" s="2">
        <f>D11*F11</f>
        <v>7.7163681207185822E-2</v>
      </c>
      <c r="I11" s="2">
        <f>G11^2</f>
        <v>5.954233697444202E-3</v>
      </c>
      <c r="L11" s="57"/>
      <c r="M11" s="58"/>
      <c r="N11" s="58"/>
      <c r="O11" s="58"/>
      <c r="P11" s="58"/>
      <c r="Q11" s="58"/>
      <c r="R11" s="58"/>
      <c r="S11" s="59"/>
    </row>
    <row r="12" spans="2:19" x14ac:dyDescent="0.2">
      <c r="B12" s="2" t="s">
        <v>162</v>
      </c>
      <c r="C12" s="55">
        <f>M8</f>
        <v>80.002830264059696</v>
      </c>
      <c r="D12" s="2" t="s">
        <v>36</v>
      </c>
      <c r="F12" s="2" t="s">
        <v>37</v>
      </c>
      <c r="G12" s="56">
        <f>SQRT(SUM(I10:I11))</f>
        <v>7.727330024388962E-2</v>
      </c>
      <c r="H12" s="130" t="s">
        <v>36</v>
      </c>
    </row>
    <row r="13" spans="2:19" x14ac:dyDescent="0.2">
      <c r="F13" s="2" t="s">
        <v>38</v>
      </c>
      <c r="G13" s="56">
        <f>2*G12</f>
        <v>0.15454660048777924</v>
      </c>
      <c r="H13" s="130" t="s">
        <v>36</v>
      </c>
      <c r="L13" s="1"/>
    </row>
    <row r="14" spans="2:19" x14ac:dyDescent="0.2">
      <c r="F14" s="2" t="s">
        <v>37</v>
      </c>
      <c r="G14" s="56">
        <f>SQRT(D10^2+D11^2)</f>
        <v>0.14743346610413635</v>
      </c>
      <c r="H14" s="130" t="s">
        <v>39</v>
      </c>
    </row>
    <row r="15" spans="2:19" x14ac:dyDescent="0.2">
      <c r="F15" s="2" t="s">
        <v>38</v>
      </c>
      <c r="G15" s="56">
        <f>2*G14</f>
        <v>0.2948669322082727</v>
      </c>
      <c r="H15" s="130" t="s">
        <v>39</v>
      </c>
      <c r="I15" s="60" t="s">
        <v>21</v>
      </c>
    </row>
    <row r="16" spans="2:19" x14ac:dyDescent="0.2">
      <c r="J16" s="1" t="s">
        <v>113</v>
      </c>
    </row>
    <row r="17" spans="2:15" x14ac:dyDescent="0.2">
      <c r="B17" s="61" t="s">
        <v>98</v>
      </c>
      <c r="C17" s="61" t="s">
        <v>40</v>
      </c>
      <c r="D17" s="61" t="s">
        <v>41</v>
      </c>
      <c r="E17" s="61" t="s">
        <v>42</v>
      </c>
      <c r="F17" s="61" t="s">
        <v>43</v>
      </c>
      <c r="G17" s="61" t="s">
        <v>44</v>
      </c>
      <c r="H17" s="61" t="s">
        <v>45</v>
      </c>
      <c r="I17" s="61" t="s">
        <v>46</v>
      </c>
      <c r="J17" s="114">
        <v>9.4000000000000004E-3</v>
      </c>
    </row>
    <row r="18" spans="2:15" x14ac:dyDescent="0.2">
      <c r="B18" t="s">
        <v>47</v>
      </c>
      <c r="C18" s="62">
        <v>0.02</v>
      </c>
      <c r="D18" s="62">
        <v>0.02</v>
      </c>
      <c r="E18" s="62">
        <v>0.02</v>
      </c>
      <c r="F18" s="62">
        <v>0.05</v>
      </c>
      <c r="G18" s="62">
        <v>0.1</v>
      </c>
      <c r="H18" s="62">
        <v>0.5</v>
      </c>
      <c r="I18" s="62">
        <v>5</v>
      </c>
      <c r="J18" s="2">
        <v>0.1</v>
      </c>
    </row>
    <row r="19" spans="2:15" x14ac:dyDescent="0.2">
      <c r="B19" t="s">
        <v>163</v>
      </c>
      <c r="C19" s="2">
        <v>1E-3</v>
      </c>
      <c r="D19" s="2">
        <v>1E-3</v>
      </c>
      <c r="E19" s="2">
        <v>1E-3</v>
      </c>
      <c r="F19" s="2">
        <v>2.5000000000000001E-3</v>
      </c>
      <c r="G19" s="2">
        <v>5.0000000000000001E-3</v>
      </c>
      <c r="H19" s="2">
        <v>2.0000000000000001E-4</v>
      </c>
      <c r="I19" s="2">
        <v>2.0000000000000001E-4</v>
      </c>
      <c r="J19">
        <v>3.0000000000000001E-3</v>
      </c>
    </row>
    <row r="20" spans="2:15" x14ac:dyDescent="0.2">
      <c r="B20" s="63" t="s">
        <v>164</v>
      </c>
      <c r="C20" s="51">
        <v>0</v>
      </c>
      <c r="D20" s="51">
        <v>0</v>
      </c>
      <c r="E20" s="51">
        <v>6</v>
      </c>
      <c r="F20" s="51">
        <v>5</v>
      </c>
      <c r="G20" s="137">
        <v>4</v>
      </c>
      <c r="H20" s="138">
        <v>4</v>
      </c>
      <c r="I20" s="51">
        <v>8</v>
      </c>
    </row>
    <row r="22" spans="2:15" ht="16" x14ac:dyDescent="0.2">
      <c r="C22" s="136" t="s">
        <v>108</v>
      </c>
      <c r="D22" s="136" t="s">
        <v>109</v>
      </c>
      <c r="E22" s="136" t="s">
        <v>183</v>
      </c>
      <c r="F22" s="136" t="s">
        <v>110</v>
      </c>
      <c r="G22" s="136" t="s">
        <v>112</v>
      </c>
      <c r="I22" s="116" t="s">
        <v>48</v>
      </c>
    </row>
    <row r="23" spans="2:15" x14ac:dyDescent="0.2">
      <c r="B23" s="2" t="s">
        <v>165</v>
      </c>
      <c r="C23" s="2">
        <f>10000*C20+1000*D20+100*E20+10*F20+G20+J17+H20/10+I20/100</f>
        <v>654.48940000000005</v>
      </c>
      <c r="D23" s="2">
        <f>(10000*C20*C19+1000*D20*D19+100*E20*E19+10*F20*F19+G20*G19+J17*J19+H19*100+I19*100)/100</f>
        <v>7.8502820000000001E-3</v>
      </c>
      <c r="E23" s="2" t="s">
        <v>184</v>
      </c>
      <c r="F23" s="2">
        <v>1</v>
      </c>
      <c r="G23" s="2">
        <f>D23*F23</f>
        <v>7.8502820000000001E-3</v>
      </c>
      <c r="I23" s="116">
        <f>G23^2</f>
        <v>6.1626927479524005E-5</v>
      </c>
    </row>
    <row r="24" spans="2:15" x14ac:dyDescent="0.2">
      <c r="B24" s="2" t="s">
        <v>49</v>
      </c>
      <c r="C24" s="2">
        <v>0</v>
      </c>
      <c r="D24" s="2">
        <f>(10000*C20*C18+1000*D20*D18+100*E20*E18+10*F20*F18+G20*G18+100*J18+H20*H18/10+I20*I18/100)/(100*SQRT(3))</f>
        <v>0.14722431864335456</v>
      </c>
      <c r="E24" s="2" t="s">
        <v>184</v>
      </c>
      <c r="F24" s="2">
        <v>1</v>
      </c>
      <c r="G24" s="2">
        <f>D24*F24</f>
        <v>0.14722431864335456</v>
      </c>
      <c r="I24" s="116">
        <f>G24^2</f>
        <v>2.1674999999999996E-2</v>
      </c>
      <c r="N24" s="65"/>
      <c r="O24" s="65"/>
    </row>
    <row r="25" spans="2:15" x14ac:dyDescent="0.2">
      <c r="B25" s="2" t="s">
        <v>50</v>
      </c>
      <c r="C25" s="64">
        <f>C23</f>
        <v>654.48940000000005</v>
      </c>
      <c r="D25" s="2"/>
      <c r="E25" s="2"/>
      <c r="F25" s="2" t="s">
        <v>37</v>
      </c>
      <c r="G25" s="56">
        <f>SQRT(SUM(I23:I24))</f>
        <v>0.14743346610413635</v>
      </c>
    </row>
    <row r="26" spans="2:15" x14ac:dyDescent="0.2">
      <c r="F26" s="62" t="s">
        <v>38</v>
      </c>
      <c r="G26" s="133">
        <f>2*G25</f>
        <v>0.2948669322082727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"/>
  <sheetViews>
    <sheetView tabSelected="1" workbookViewId="0"/>
  </sheetViews>
  <sheetFormatPr baseColWidth="10" defaultColWidth="8.83203125" defaultRowHeight="15" x14ac:dyDescent="0.2"/>
  <cols>
    <col min="1" max="1" width="2.6640625" customWidth="1"/>
    <col min="2" max="2" width="11.6640625" customWidth="1"/>
    <col min="3" max="3" width="13" customWidth="1"/>
    <col min="4" max="4" width="9.6640625" customWidth="1"/>
    <col min="5" max="5" width="6.83203125" customWidth="1"/>
    <col min="6" max="6" width="7.5" customWidth="1"/>
    <col min="7" max="7" width="3.33203125" customWidth="1"/>
    <col min="8" max="8" width="2.6640625" customWidth="1"/>
    <col min="9" max="9" width="9.5" customWidth="1"/>
    <col min="12" max="13" width="9.33203125" customWidth="1"/>
    <col min="14" max="14" width="9.5" customWidth="1"/>
    <col min="15" max="15" width="8" customWidth="1"/>
    <col min="16" max="16" width="3.5" customWidth="1"/>
    <col min="17" max="17" width="5" customWidth="1"/>
    <col min="18" max="18" width="35.5" customWidth="1"/>
    <col min="19" max="19" width="10.5" customWidth="1"/>
    <col min="20" max="20" width="9.5" customWidth="1"/>
    <col min="21" max="21" width="12.83203125" customWidth="1"/>
    <col min="22" max="22" width="9.5" customWidth="1"/>
    <col min="23" max="23" width="10.5" customWidth="1"/>
    <col min="25" max="25" width="10.6640625" customWidth="1"/>
    <col min="26" max="29" width="9.33203125" customWidth="1"/>
    <col min="257" max="257" width="2.6640625" customWidth="1"/>
    <col min="258" max="258" width="11.6640625" customWidth="1"/>
    <col min="259" max="259" width="13" customWidth="1"/>
    <col min="260" max="260" width="9.6640625" customWidth="1"/>
    <col min="261" max="261" width="6.83203125" customWidth="1"/>
    <col min="262" max="262" width="7.5" customWidth="1"/>
    <col min="263" max="263" width="3.33203125" customWidth="1"/>
    <col min="264" max="264" width="9.6640625" customWidth="1"/>
    <col min="265" max="265" width="9.5" customWidth="1"/>
    <col min="268" max="269" width="9.33203125" customWidth="1"/>
    <col min="270" max="270" width="9.5" customWidth="1"/>
    <col min="271" max="271" width="8" customWidth="1"/>
    <col min="272" max="272" width="3.5" customWidth="1"/>
    <col min="274" max="274" width="32.6640625" customWidth="1"/>
    <col min="275" max="275" width="10.5" customWidth="1"/>
    <col min="276" max="276" width="9.5" customWidth="1"/>
    <col min="277" max="277" width="12.83203125" customWidth="1"/>
    <col min="278" max="278" width="9.5" customWidth="1"/>
    <col min="279" max="279" width="10.5" customWidth="1"/>
    <col min="281" max="281" width="10.6640625" customWidth="1"/>
    <col min="282" max="285" width="9.33203125" customWidth="1"/>
    <col min="513" max="513" width="2.6640625" customWidth="1"/>
    <col min="514" max="514" width="11.6640625" customWidth="1"/>
    <col min="515" max="515" width="13" customWidth="1"/>
    <col min="516" max="516" width="9.6640625" customWidth="1"/>
    <col min="517" max="517" width="6.83203125" customWidth="1"/>
    <col min="518" max="518" width="7.5" customWidth="1"/>
    <col min="519" max="519" width="3.33203125" customWidth="1"/>
    <col min="520" max="520" width="9.6640625" customWidth="1"/>
    <col min="521" max="521" width="9.5" customWidth="1"/>
    <col min="524" max="525" width="9.33203125" customWidth="1"/>
    <col min="526" max="526" width="9.5" customWidth="1"/>
    <col min="527" max="527" width="8" customWidth="1"/>
    <col min="528" max="528" width="3.5" customWidth="1"/>
    <col min="530" max="530" width="32.6640625" customWidth="1"/>
    <col min="531" max="531" width="10.5" customWidth="1"/>
    <col min="532" max="532" width="9.5" customWidth="1"/>
    <col min="533" max="533" width="12.83203125" customWidth="1"/>
    <col min="534" max="534" width="9.5" customWidth="1"/>
    <col min="535" max="535" width="10.5" customWidth="1"/>
    <col min="537" max="537" width="10.6640625" customWidth="1"/>
    <col min="538" max="541" width="9.33203125" customWidth="1"/>
    <col min="769" max="769" width="2.6640625" customWidth="1"/>
    <col min="770" max="770" width="11.6640625" customWidth="1"/>
    <col min="771" max="771" width="13" customWidth="1"/>
    <col min="772" max="772" width="9.6640625" customWidth="1"/>
    <col min="773" max="773" width="6.83203125" customWidth="1"/>
    <col min="774" max="774" width="7.5" customWidth="1"/>
    <col min="775" max="775" width="3.33203125" customWidth="1"/>
    <col min="776" max="776" width="9.6640625" customWidth="1"/>
    <col min="777" max="777" width="9.5" customWidth="1"/>
    <col min="780" max="781" width="9.33203125" customWidth="1"/>
    <col min="782" max="782" width="9.5" customWidth="1"/>
    <col min="783" max="783" width="8" customWidth="1"/>
    <col min="784" max="784" width="3.5" customWidth="1"/>
    <col min="786" max="786" width="32.6640625" customWidth="1"/>
    <col min="787" max="787" width="10.5" customWidth="1"/>
    <col min="788" max="788" width="9.5" customWidth="1"/>
    <col min="789" max="789" width="12.83203125" customWidth="1"/>
    <col min="790" max="790" width="9.5" customWidth="1"/>
    <col min="791" max="791" width="10.5" customWidth="1"/>
    <col min="793" max="793" width="10.6640625" customWidth="1"/>
    <col min="794" max="797" width="9.33203125" customWidth="1"/>
    <col min="1025" max="1025" width="2.6640625" customWidth="1"/>
    <col min="1026" max="1026" width="11.6640625" customWidth="1"/>
    <col min="1027" max="1027" width="13" customWidth="1"/>
    <col min="1028" max="1028" width="9.6640625" customWidth="1"/>
    <col min="1029" max="1029" width="6.83203125" customWidth="1"/>
    <col min="1030" max="1030" width="7.5" customWidth="1"/>
    <col min="1031" max="1031" width="3.33203125" customWidth="1"/>
    <col min="1032" max="1032" width="9.6640625" customWidth="1"/>
    <col min="1033" max="1033" width="9.5" customWidth="1"/>
    <col min="1036" max="1037" width="9.33203125" customWidth="1"/>
    <col min="1038" max="1038" width="9.5" customWidth="1"/>
    <col min="1039" max="1039" width="8" customWidth="1"/>
    <col min="1040" max="1040" width="3.5" customWidth="1"/>
    <col min="1042" max="1042" width="32.6640625" customWidth="1"/>
    <col min="1043" max="1043" width="10.5" customWidth="1"/>
    <col min="1044" max="1044" width="9.5" customWidth="1"/>
    <col min="1045" max="1045" width="12.83203125" customWidth="1"/>
    <col min="1046" max="1046" width="9.5" customWidth="1"/>
    <col min="1047" max="1047" width="10.5" customWidth="1"/>
    <col min="1049" max="1049" width="10.6640625" customWidth="1"/>
    <col min="1050" max="1053" width="9.33203125" customWidth="1"/>
    <col min="1281" max="1281" width="2.6640625" customWidth="1"/>
    <col min="1282" max="1282" width="11.6640625" customWidth="1"/>
    <col min="1283" max="1283" width="13" customWidth="1"/>
    <col min="1284" max="1284" width="9.6640625" customWidth="1"/>
    <col min="1285" max="1285" width="6.83203125" customWidth="1"/>
    <col min="1286" max="1286" width="7.5" customWidth="1"/>
    <col min="1287" max="1287" width="3.33203125" customWidth="1"/>
    <col min="1288" max="1288" width="9.6640625" customWidth="1"/>
    <col min="1289" max="1289" width="9.5" customWidth="1"/>
    <col min="1292" max="1293" width="9.33203125" customWidth="1"/>
    <col min="1294" max="1294" width="9.5" customWidth="1"/>
    <col min="1295" max="1295" width="8" customWidth="1"/>
    <col min="1296" max="1296" width="3.5" customWidth="1"/>
    <col min="1298" max="1298" width="32.6640625" customWidth="1"/>
    <col min="1299" max="1299" width="10.5" customWidth="1"/>
    <col min="1300" max="1300" width="9.5" customWidth="1"/>
    <col min="1301" max="1301" width="12.83203125" customWidth="1"/>
    <col min="1302" max="1302" width="9.5" customWidth="1"/>
    <col min="1303" max="1303" width="10.5" customWidth="1"/>
    <col min="1305" max="1305" width="10.6640625" customWidth="1"/>
    <col min="1306" max="1309" width="9.33203125" customWidth="1"/>
    <col min="1537" max="1537" width="2.6640625" customWidth="1"/>
    <col min="1538" max="1538" width="11.6640625" customWidth="1"/>
    <col min="1539" max="1539" width="13" customWidth="1"/>
    <col min="1540" max="1540" width="9.6640625" customWidth="1"/>
    <col min="1541" max="1541" width="6.83203125" customWidth="1"/>
    <col min="1542" max="1542" width="7.5" customWidth="1"/>
    <col min="1543" max="1543" width="3.33203125" customWidth="1"/>
    <col min="1544" max="1544" width="9.6640625" customWidth="1"/>
    <col min="1545" max="1545" width="9.5" customWidth="1"/>
    <col min="1548" max="1549" width="9.33203125" customWidth="1"/>
    <col min="1550" max="1550" width="9.5" customWidth="1"/>
    <col min="1551" max="1551" width="8" customWidth="1"/>
    <col min="1552" max="1552" width="3.5" customWidth="1"/>
    <col min="1554" max="1554" width="32.6640625" customWidth="1"/>
    <col min="1555" max="1555" width="10.5" customWidth="1"/>
    <col min="1556" max="1556" width="9.5" customWidth="1"/>
    <col min="1557" max="1557" width="12.83203125" customWidth="1"/>
    <col min="1558" max="1558" width="9.5" customWidth="1"/>
    <col min="1559" max="1559" width="10.5" customWidth="1"/>
    <col min="1561" max="1561" width="10.6640625" customWidth="1"/>
    <col min="1562" max="1565" width="9.33203125" customWidth="1"/>
    <col min="1793" max="1793" width="2.6640625" customWidth="1"/>
    <col min="1794" max="1794" width="11.6640625" customWidth="1"/>
    <col min="1795" max="1795" width="13" customWidth="1"/>
    <col min="1796" max="1796" width="9.6640625" customWidth="1"/>
    <col min="1797" max="1797" width="6.83203125" customWidth="1"/>
    <col min="1798" max="1798" width="7.5" customWidth="1"/>
    <col min="1799" max="1799" width="3.33203125" customWidth="1"/>
    <col min="1800" max="1800" width="9.6640625" customWidth="1"/>
    <col min="1801" max="1801" width="9.5" customWidth="1"/>
    <col min="1804" max="1805" width="9.33203125" customWidth="1"/>
    <col min="1806" max="1806" width="9.5" customWidth="1"/>
    <col min="1807" max="1807" width="8" customWidth="1"/>
    <col min="1808" max="1808" width="3.5" customWidth="1"/>
    <col min="1810" max="1810" width="32.6640625" customWidth="1"/>
    <col min="1811" max="1811" width="10.5" customWidth="1"/>
    <col min="1812" max="1812" width="9.5" customWidth="1"/>
    <col min="1813" max="1813" width="12.83203125" customWidth="1"/>
    <col min="1814" max="1814" width="9.5" customWidth="1"/>
    <col min="1815" max="1815" width="10.5" customWidth="1"/>
    <col min="1817" max="1817" width="10.6640625" customWidth="1"/>
    <col min="1818" max="1821" width="9.33203125" customWidth="1"/>
    <col min="2049" max="2049" width="2.6640625" customWidth="1"/>
    <col min="2050" max="2050" width="11.6640625" customWidth="1"/>
    <col min="2051" max="2051" width="13" customWidth="1"/>
    <col min="2052" max="2052" width="9.6640625" customWidth="1"/>
    <col min="2053" max="2053" width="6.83203125" customWidth="1"/>
    <col min="2054" max="2054" width="7.5" customWidth="1"/>
    <col min="2055" max="2055" width="3.33203125" customWidth="1"/>
    <col min="2056" max="2056" width="9.6640625" customWidth="1"/>
    <col min="2057" max="2057" width="9.5" customWidth="1"/>
    <col min="2060" max="2061" width="9.33203125" customWidth="1"/>
    <col min="2062" max="2062" width="9.5" customWidth="1"/>
    <col min="2063" max="2063" width="8" customWidth="1"/>
    <col min="2064" max="2064" width="3.5" customWidth="1"/>
    <col min="2066" max="2066" width="32.6640625" customWidth="1"/>
    <col min="2067" max="2067" width="10.5" customWidth="1"/>
    <col min="2068" max="2068" width="9.5" customWidth="1"/>
    <col min="2069" max="2069" width="12.83203125" customWidth="1"/>
    <col min="2070" max="2070" width="9.5" customWidth="1"/>
    <col min="2071" max="2071" width="10.5" customWidth="1"/>
    <col min="2073" max="2073" width="10.6640625" customWidth="1"/>
    <col min="2074" max="2077" width="9.33203125" customWidth="1"/>
    <col min="2305" max="2305" width="2.6640625" customWidth="1"/>
    <col min="2306" max="2306" width="11.6640625" customWidth="1"/>
    <col min="2307" max="2307" width="13" customWidth="1"/>
    <col min="2308" max="2308" width="9.6640625" customWidth="1"/>
    <col min="2309" max="2309" width="6.83203125" customWidth="1"/>
    <col min="2310" max="2310" width="7.5" customWidth="1"/>
    <col min="2311" max="2311" width="3.33203125" customWidth="1"/>
    <col min="2312" max="2312" width="9.6640625" customWidth="1"/>
    <col min="2313" max="2313" width="9.5" customWidth="1"/>
    <col min="2316" max="2317" width="9.33203125" customWidth="1"/>
    <col min="2318" max="2318" width="9.5" customWidth="1"/>
    <col min="2319" max="2319" width="8" customWidth="1"/>
    <col min="2320" max="2320" width="3.5" customWidth="1"/>
    <col min="2322" max="2322" width="32.6640625" customWidth="1"/>
    <col min="2323" max="2323" width="10.5" customWidth="1"/>
    <col min="2324" max="2324" width="9.5" customWidth="1"/>
    <col min="2325" max="2325" width="12.83203125" customWidth="1"/>
    <col min="2326" max="2326" width="9.5" customWidth="1"/>
    <col min="2327" max="2327" width="10.5" customWidth="1"/>
    <col min="2329" max="2329" width="10.6640625" customWidth="1"/>
    <col min="2330" max="2333" width="9.33203125" customWidth="1"/>
    <col min="2561" max="2561" width="2.6640625" customWidth="1"/>
    <col min="2562" max="2562" width="11.6640625" customWidth="1"/>
    <col min="2563" max="2563" width="13" customWidth="1"/>
    <col min="2564" max="2564" width="9.6640625" customWidth="1"/>
    <col min="2565" max="2565" width="6.83203125" customWidth="1"/>
    <col min="2566" max="2566" width="7.5" customWidth="1"/>
    <col min="2567" max="2567" width="3.33203125" customWidth="1"/>
    <col min="2568" max="2568" width="9.6640625" customWidth="1"/>
    <col min="2569" max="2569" width="9.5" customWidth="1"/>
    <col min="2572" max="2573" width="9.33203125" customWidth="1"/>
    <col min="2574" max="2574" width="9.5" customWidth="1"/>
    <col min="2575" max="2575" width="8" customWidth="1"/>
    <col min="2576" max="2576" width="3.5" customWidth="1"/>
    <col min="2578" max="2578" width="32.6640625" customWidth="1"/>
    <col min="2579" max="2579" width="10.5" customWidth="1"/>
    <col min="2580" max="2580" width="9.5" customWidth="1"/>
    <col min="2581" max="2581" width="12.83203125" customWidth="1"/>
    <col min="2582" max="2582" width="9.5" customWidth="1"/>
    <col min="2583" max="2583" width="10.5" customWidth="1"/>
    <col min="2585" max="2585" width="10.6640625" customWidth="1"/>
    <col min="2586" max="2589" width="9.33203125" customWidth="1"/>
    <col min="2817" max="2817" width="2.6640625" customWidth="1"/>
    <col min="2818" max="2818" width="11.6640625" customWidth="1"/>
    <col min="2819" max="2819" width="13" customWidth="1"/>
    <col min="2820" max="2820" width="9.6640625" customWidth="1"/>
    <col min="2821" max="2821" width="6.83203125" customWidth="1"/>
    <col min="2822" max="2822" width="7.5" customWidth="1"/>
    <col min="2823" max="2823" width="3.33203125" customWidth="1"/>
    <col min="2824" max="2824" width="9.6640625" customWidth="1"/>
    <col min="2825" max="2825" width="9.5" customWidth="1"/>
    <col min="2828" max="2829" width="9.33203125" customWidth="1"/>
    <col min="2830" max="2830" width="9.5" customWidth="1"/>
    <col min="2831" max="2831" width="8" customWidth="1"/>
    <col min="2832" max="2832" width="3.5" customWidth="1"/>
    <col min="2834" max="2834" width="32.6640625" customWidth="1"/>
    <col min="2835" max="2835" width="10.5" customWidth="1"/>
    <col min="2836" max="2836" width="9.5" customWidth="1"/>
    <col min="2837" max="2837" width="12.83203125" customWidth="1"/>
    <col min="2838" max="2838" width="9.5" customWidth="1"/>
    <col min="2839" max="2839" width="10.5" customWidth="1"/>
    <col min="2841" max="2841" width="10.6640625" customWidth="1"/>
    <col min="2842" max="2845" width="9.33203125" customWidth="1"/>
    <col min="3073" max="3073" width="2.6640625" customWidth="1"/>
    <col min="3074" max="3074" width="11.6640625" customWidth="1"/>
    <col min="3075" max="3075" width="13" customWidth="1"/>
    <col min="3076" max="3076" width="9.6640625" customWidth="1"/>
    <col min="3077" max="3077" width="6.83203125" customWidth="1"/>
    <col min="3078" max="3078" width="7.5" customWidth="1"/>
    <col min="3079" max="3079" width="3.33203125" customWidth="1"/>
    <col min="3080" max="3080" width="9.6640625" customWidth="1"/>
    <col min="3081" max="3081" width="9.5" customWidth="1"/>
    <col min="3084" max="3085" width="9.33203125" customWidth="1"/>
    <col min="3086" max="3086" width="9.5" customWidth="1"/>
    <col min="3087" max="3087" width="8" customWidth="1"/>
    <col min="3088" max="3088" width="3.5" customWidth="1"/>
    <col min="3090" max="3090" width="32.6640625" customWidth="1"/>
    <col min="3091" max="3091" width="10.5" customWidth="1"/>
    <col min="3092" max="3092" width="9.5" customWidth="1"/>
    <col min="3093" max="3093" width="12.83203125" customWidth="1"/>
    <col min="3094" max="3094" width="9.5" customWidth="1"/>
    <col min="3095" max="3095" width="10.5" customWidth="1"/>
    <col min="3097" max="3097" width="10.6640625" customWidth="1"/>
    <col min="3098" max="3101" width="9.33203125" customWidth="1"/>
    <col min="3329" max="3329" width="2.6640625" customWidth="1"/>
    <col min="3330" max="3330" width="11.6640625" customWidth="1"/>
    <col min="3331" max="3331" width="13" customWidth="1"/>
    <col min="3332" max="3332" width="9.6640625" customWidth="1"/>
    <col min="3333" max="3333" width="6.83203125" customWidth="1"/>
    <col min="3334" max="3334" width="7.5" customWidth="1"/>
    <col min="3335" max="3335" width="3.33203125" customWidth="1"/>
    <col min="3336" max="3336" width="9.6640625" customWidth="1"/>
    <col min="3337" max="3337" width="9.5" customWidth="1"/>
    <col min="3340" max="3341" width="9.33203125" customWidth="1"/>
    <col min="3342" max="3342" width="9.5" customWidth="1"/>
    <col min="3343" max="3343" width="8" customWidth="1"/>
    <col min="3344" max="3344" width="3.5" customWidth="1"/>
    <col min="3346" max="3346" width="32.6640625" customWidth="1"/>
    <col min="3347" max="3347" width="10.5" customWidth="1"/>
    <col min="3348" max="3348" width="9.5" customWidth="1"/>
    <col min="3349" max="3349" width="12.83203125" customWidth="1"/>
    <col min="3350" max="3350" width="9.5" customWidth="1"/>
    <col min="3351" max="3351" width="10.5" customWidth="1"/>
    <col min="3353" max="3353" width="10.6640625" customWidth="1"/>
    <col min="3354" max="3357" width="9.33203125" customWidth="1"/>
    <col min="3585" max="3585" width="2.6640625" customWidth="1"/>
    <col min="3586" max="3586" width="11.6640625" customWidth="1"/>
    <col min="3587" max="3587" width="13" customWidth="1"/>
    <col min="3588" max="3588" width="9.6640625" customWidth="1"/>
    <col min="3589" max="3589" width="6.83203125" customWidth="1"/>
    <col min="3590" max="3590" width="7.5" customWidth="1"/>
    <col min="3591" max="3591" width="3.33203125" customWidth="1"/>
    <col min="3592" max="3592" width="9.6640625" customWidth="1"/>
    <col min="3593" max="3593" width="9.5" customWidth="1"/>
    <col min="3596" max="3597" width="9.33203125" customWidth="1"/>
    <col min="3598" max="3598" width="9.5" customWidth="1"/>
    <col min="3599" max="3599" width="8" customWidth="1"/>
    <col min="3600" max="3600" width="3.5" customWidth="1"/>
    <col min="3602" max="3602" width="32.6640625" customWidth="1"/>
    <col min="3603" max="3603" width="10.5" customWidth="1"/>
    <col min="3604" max="3604" width="9.5" customWidth="1"/>
    <col min="3605" max="3605" width="12.83203125" customWidth="1"/>
    <col min="3606" max="3606" width="9.5" customWidth="1"/>
    <col min="3607" max="3607" width="10.5" customWidth="1"/>
    <col min="3609" max="3609" width="10.6640625" customWidth="1"/>
    <col min="3610" max="3613" width="9.33203125" customWidth="1"/>
    <col min="3841" max="3841" width="2.6640625" customWidth="1"/>
    <col min="3842" max="3842" width="11.6640625" customWidth="1"/>
    <col min="3843" max="3843" width="13" customWidth="1"/>
    <col min="3844" max="3844" width="9.6640625" customWidth="1"/>
    <col min="3845" max="3845" width="6.83203125" customWidth="1"/>
    <col min="3846" max="3846" width="7.5" customWidth="1"/>
    <col min="3847" max="3847" width="3.33203125" customWidth="1"/>
    <col min="3848" max="3848" width="9.6640625" customWidth="1"/>
    <col min="3849" max="3849" width="9.5" customWidth="1"/>
    <col min="3852" max="3853" width="9.33203125" customWidth="1"/>
    <col min="3854" max="3854" width="9.5" customWidth="1"/>
    <col min="3855" max="3855" width="8" customWidth="1"/>
    <col min="3856" max="3856" width="3.5" customWidth="1"/>
    <col min="3858" max="3858" width="32.6640625" customWidth="1"/>
    <col min="3859" max="3859" width="10.5" customWidth="1"/>
    <col min="3860" max="3860" width="9.5" customWidth="1"/>
    <col min="3861" max="3861" width="12.83203125" customWidth="1"/>
    <col min="3862" max="3862" width="9.5" customWidth="1"/>
    <col min="3863" max="3863" width="10.5" customWidth="1"/>
    <col min="3865" max="3865" width="10.6640625" customWidth="1"/>
    <col min="3866" max="3869" width="9.33203125" customWidth="1"/>
    <col min="4097" max="4097" width="2.6640625" customWidth="1"/>
    <col min="4098" max="4098" width="11.6640625" customWidth="1"/>
    <col min="4099" max="4099" width="13" customWidth="1"/>
    <col min="4100" max="4100" width="9.6640625" customWidth="1"/>
    <col min="4101" max="4101" width="6.83203125" customWidth="1"/>
    <col min="4102" max="4102" width="7.5" customWidth="1"/>
    <col min="4103" max="4103" width="3.33203125" customWidth="1"/>
    <col min="4104" max="4104" width="9.6640625" customWidth="1"/>
    <col min="4105" max="4105" width="9.5" customWidth="1"/>
    <col min="4108" max="4109" width="9.33203125" customWidth="1"/>
    <col min="4110" max="4110" width="9.5" customWidth="1"/>
    <col min="4111" max="4111" width="8" customWidth="1"/>
    <col min="4112" max="4112" width="3.5" customWidth="1"/>
    <col min="4114" max="4114" width="32.6640625" customWidth="1"/>
    <col min="4115" max="4115" width="10.5" customWidth="1"/>
    <col min="4116" max="4116" width="9.5" customWidth="1"/>
    <col min="4117" max="4117" width="12.83203125" customWidth="1"/>
    <col min="4118" max="4118" width="9.5" customWidth="1"/>
    <col min="4119" max="4119" width="10.5" customWidth="1"/>
    <col min="4121" max="4121" width="10.6640625" customWidth="1"/>
    <col min="4122" max="4125" width="9.33203125" customWidth="1"/>
    <col min="4353" max="4353" width="2.6640625" customWidth="1"/>
    <col min="4354" max="4354" width="11.6640625" customWidth="1"/>
    <col min="4355" max="4355" width="13" customWidth="1"/>
    <col min="4356" max="4356" width="9.6640625" customWidth="1"/>
    <col min="4357" max="4357" width="6.83203125" customWidth="1"/>
    <col min="4358" max="4358" width="7.5" customWidth="1"/>
    <col min="4359" max="4359" width="3.33203125" customWidth="1"/>
    <col min="4360" max="4360" width="9.6640625" customWidth="1"/>
    <col min="4361" max="4361" width="9.5" customWidth="1"/>
    <col min="4364" max="4365" width="9.33203125" customWidth="1"/>
    <col min="4366" max="4366" width="9.5" customWidth="1"/>
    <col min="4367" max="4367" width="8" customWidth="1"/>
    <col min="4368" max="4368" width="3.5" customWidth="1"/>
    <col min="4370" max="4370" width="32.6640625" customWidth="1"/>
    <col min="4371" max="4371" width="10.5" customWidth="1"/>
    <col min="4372" max="4372" width="9.5" customWidth="1"/>
    <col min="4373" max="4373" width="12.83203125" customWidth="1"/>
    <col min="4374" max="4374" width="9.5" customWidth="1"/>
    <col min="4375" max="4375" width="10.5" customWidth="1"/>
    <col min="4377" max="4377" width="10.6640625" customWidth="1"/>
    <col min="4378" max="4381" width="9.33203125" customWidth="1"/>
    <col min="4609" max="4609" width="2.6640625" customWidth="1"/>
    <col min="4610" max="4610" width="11.6640625" customWidth="1"/>
    <col min="4611" max="4611" width="13" customWidth="1"/>
    <col min="4612" max="4612" width="9.6640625" customWidth="1"/>
    <col min="4613" max="4613" width="6.83203125" customWidth="1"/>
    <col min="4614" max="4614" width="7.5" customWidth="1"/>
    <col min="4615" max="4615" width="3.33203125" customWidth="1"/>
    <col min="4616" max="4616" width="9.6640625" customWidth="1"/>
    <col min="4617" max="4617" width="9.5" customWidth="1"/>
    <col min="4620" max="4621" width="9.33203125" customWidth="1"/>
    <col min="4622" max="4622" width="9.5" customWidth="1"/>
    <col min="4623" max="4623" width="8" customWidth="1"/>
    <col min="4624" max="4624" width="3.5" customWidth="1"/>
    <col min="4626" max="4626" width="32.6640625" customWidth="1"/>
    <col min="4627" max="4627" width="10.5" customWidth="1"/>
    <col min="4628" max="4628" width="9.5" customWidth="1"/>
    <col min="4629" max="4629" width="12.83203125" customWidth="1"/>
    <col min="4630" max="4630" width="9.5" customWidth="1"/>
    <col min="4631" max="4631" width="10.5" customWidth="1"/>
    <col min="4633" max="4633" width="10.6640625" customWidth="1"/>
    <col min="4634" max="4637" width="9.33203125" customWidth="1"/>
    <col min="4865" max="4865" width="2.6640625" customWidth="1"/>
    <col min="4866" max="4866" width="11.6640625" customWidth="1"/>
    <col min="4867" max="4867" width="13" customWidth="1"/>
    <col min="4868" max="4868" width="9.6640625" customWidth="1"/>
    <col min="4869" max="4869" width="6.83203125" customWidth="1"/>
    <col min="4870" max="4870" width="7.5" customWidth="1"/>
    <col min="4871" max="4871" width="3.33203125" customWidth="1"/>
    <col min="4872" max="4872" width="9.6640625" customWidth="1"/>
    <col min="4873" max="4873" width="9.5" customWidth="1"/>
    <col min="4876" max="4877" width="9.33203125" customWidth="1"/>
    <col min="4878" max="4878" width="9.5" customWidth="1"/>
    <col min="4879" max="4879" width="8" customWidth="1"/>
    <col min="4880" max="4880" width="3.5" customWidth="1"/>
    <col min="4882" max="4882" width="32.6640625" customWidth="1"/>
    <col min="4883" max="4883" width="10.5" customWidth="1"/>
    <col min="4884" max="4884" width="9.5" customWidth="1"/>
    <col min="4885" max="4885" width="12.83203125" customWidth="1"/>
    <col min="4886" max="4886" width="9.5" customWidth="1"/>
    <col min="4887" max="4887" width="10.5" customWidth="1"/>
    <col min="4889" max="4889" width="10.6640625" customWidth="1"/>
    <col min="4890" max="4893" width="9.33203125" customWidth="1"/>
    <col min="5121" max="5121" width="2.6640625" customWidth="1"/>
    <col min="5122" max="5122" width="11.6640625" customWidth="1"/>
    <col min="5123" max="5123" width="13" customWidth="1"/>
    <col min="5124" max="5124" width="9.6640625" customWidth="1"/>
    <col min="5125" max="5125" width="6.83203125" customWidth="1"/>
    <col min="5126" max="5126" width="7.5" customWidth="1"/>
    <col min="5127" max="5127" width="3.33203125" customWidth="1"/>
    <col min="5128" max="5128" width="9.6640625" customWidth="1"/>
    <col min="5129" max="5129" width="9.5" customWidth="1"/>
    <col min="5132" max="5133" width="9.33203125" customWidth="1"/>
    <col min="5134" max="5134" width="9.5" customWidth="1"/>
    <col min="5135" max="5135" width="8" customWidth="1"/>
    <col min="5136" max="5136" width="3.5" customWidth="1"/>
    <col min="5138" max="5138" width="32.6640625" customWidth="1"/>
    <col min="5139" max="5139" width="10.5" customWidth="1"/>
    <col min="5140" max="5140" width="9.5" customWidth="1"/>
    <col min="5141" max="5141" width="12.83203125" customWidth="1"/>
    <col min="5142" max="5142" width="9.5" customWidth="1"/>
    <col min="5143" max="5143" width="10.5" customWidth="1"/>
    <col min="5145" max="5145" width="10.6640625" customWidth="1"/>
    <col min="5146" max="5149" width="9.33203125" customWidth="1"/>
    <col min="5377" max="5377" width="2.6640625" customWidth="1"/>
    <col min="5378" max="5378" width="11.6640625" customWidth="1"/>
    <col min="5379" max="5379" width="13" customWidth="1"/>
    <col min="5380" max="5380" width="9.6640625" customWidth="1"/>
    <col min="5381" max="5381" width="6.83203125" customWidth="1"/>
    <col min="5382" max="5382" width="7.5" customWidth="1"/>
    <col min="5383" max="5383" width="3.33203125" customWidth="1"/>
    <col min="5384" max="5384" width="9.6640625" customWidth="1"/>
    <col min="5385" max="5385" width="9.5" customWidth="1"/>
    <col min="5388" max="5389" width="9.33203125" customWidth="1"/>
    <col min="5390" max="5390" width="9.5" customWidth="1"/>
    <col min="5391" max="5391" width="8" customWidth="1"/>
    <col min="5392" max="5392" width="3.5" customWidth="1"/>
    <col min="5394" max="5394" width="32.6640625" customWidth="1"/>
    <col min="5395" max="5395" width="10.5" customWidth="1"/>
    <col min="5396" max="5396" width="9.5" customWidth="1"/>
    <col min="5397" max="5397" width="12.83203125" customWidth="1"/>
    <col min="5398" max="5398" width="9.5" customWidth="1"/>
    <col min="5399" max="5399" width="10.5" customWidth="1"/>
    <col min="5401" max="5401" width="10.6640625" customWidth="1"/>
    <col min="5402" max="5405" width="9.33203125" customWidth="1"/>
    <col min="5633" max="5633" width="2.6640625" customWidth="1"/>
    <col min="5634" max="5634" width="11.6640625" customWidth="1"/>
    <col min="5635" max="5635" width="13" customWidth="1"/>
    <col min="5636" max="5636" width="9.6640625" customWidth="1"/>
    <col min="5637" max="5637" width="6.83203125" customWidth="1"/>
    <col min="5638" max="5638" width="7.5" customWidth="1"/>
    <col min="5639" max="5639" width="3.33203125" customWidth="1"/>
    <col min="5640" max="5640" width="9.6640625" customWidth="1"/>
    <col min="5641" max="5641" width="9.5" customWidth="1"/>
    <col min="5644" max="5645" width="9.33203125" customWidth="1"/>
    <col min="5646" max="5646" width="9.5" customWidth="1"/>
    <col min="5647" max="5647" width="8" customWidth="1"/>
    <col min="5648" max="5648" width="3.5" customWidth="1"/>
    <col min="5650" max="5650" width="32.6640625" customWidth="1"/>
    <col min="5651" max="5651" width="10.5" customWidth="1"/>
    <col min="5652" max="5652" width="9.5" customWidth="1"/>
    <col min="5653" max="5653" width="12.83203125" customWidth="1"/>
    <col min="5654" max="5654" width="9.5" customWidth="1"/>
    <col min="5655" max="5655" width="10.5" customWidth="1"/>
    <col min="5657" max="5657" width="10.6640625" customWidth="1"/>
    <col min="5658" max="5661" width="9.33203125" customWidth="1"/>
    <col min="5889" max="5889" width="2.6640625" customWidth="1"/>
    <col min="5890" max="5890" width="11.6640625" customWidth="1"/>
    <col min="5891" max="5891" width="13" customWidth="1"/>
    <col min="5892" max="5892" width="9.6640625" customWidth="1"/>
    <col min="5893" max="5893" width="6.83203125" customWidth="1"/>
    <col min="5894" max="5894" width="7.5" customWidth="1"/>
    <col min="5895" max="5895" width="3.33203125" customWidth="1"/>
    <col min="5896" max="5896" width="9.6640625" customWidth="1"/>
    <col min="5897" max="5897" width="9.5" customWidth="1"/>
    <col min="5900" max="5901" width="9.33203125" customWidth="1"/>
    <col min="5902" max="5902" width="9.5" customWidth="1"/>
    <col min="5903" max="5903" width="8" customWidth="1"/>
    <col min="5904" max="5904" width="3.5" customWidth="1"/>
    <col min="5906" max="5906" width="32.6640625" customWidth="1"/>
    <col min="5907" max="5907" width="10.5" customWidth="1"/>
    <col min="5908" max="5908" width="9.5" customWidth="1"/>
    <col min="5909" max="5909" width="12.83203125" customWidth="1"/>
    <col min="5910" max="5910" width="9.5" customWidth="1"/>
    <col min="5911" max="5911" width="10.5" customWidth="1"/>
    <col min="5913" max="5913" width="10.6640625" customWidth="1"/>
    <col min="5914" max="5917" width="9.33203125" customWidth="1"/>
    <col min="6145" max="6145" width="2.6640625" customWidth="1"/>
    <col min="6146" max="6146" width="11.6640625" customWidth="1"/>
    <col min="6147" max="6147" width="13" customWidth="1"/>
    <col min="6148" max="6148" width="9.6640625" customWidth="1"/>
    <col min="6149" max="6149" width="6.83203125" customWidth="1"/>
    <col min="6150" max="6150" width="7.5" customWidth="1"/>
    <col min="6151" max="6151" width="3.33203125" customWidth="1"/>
    <col min="6152" max="6152" width="9.6640625" customWidth="1"/>
    <col min="6153" max="6153" width="9.5" customWidth="1"/>
    <col min="6156" max="6157" width="9.33203125" customWidth="1"/>
    <col min="6158" max="6158" width="9.5" customWidth="1"/>
    <col min="6159" max="6159" width="8" customWidth="1"/>
    <col min="6160" max="6160" width="3.5" customWidth="1"/>
    <col min="6162" max="6162" width="32.6640625" customWidth="1"/>
    <col min="6163" max="6163" width="10.5" customWidth="1"/>
    <col min="6164" max="6164" width="9.5" customWidth="1"/>
    <col min="6165" max="6165" width="12.83203125" customWidth="1"/>
    <col min="6166" max="6166" width="9.5" customWidth="1"/>
    <col min="6167" max="6167" width="10.5" customWidth="1"/>
    <col min="6169" max="6169" width="10.6640625" customWidth="1"/>
    <col min="6170" max="6173" width="9.33203125" customWidth="1"/>
    <col min="6401" max="6401" width="2.6640625" customWidth="1"/>
    <col min="6402" max="6402" width="11.6640625" customWidth="1"/>
    <col min="6403" max="6403" width="13" customWidth="1"/>
    <col min="6404" max="6404" width="9.6640625" customWidth="1"/>
    <col min="6405" max="6405" width="6.83203125" customWidth="1"/>
    <col min="6406" max="6406" width="7.5" customWidth="1"/>
    <col min="6407" max="6407" width="3.33203125" customWidth="1"/>
    <col min="6408" max="6408" width="9.6640625" customWidth="1"/>
    <col min="6409" max="6409" width="9.5" customWidth="1"/>
    <col min="6412" max="6413" width="9.33203125" customWidth="1"/>
    <col min="6414" max="6414" width="9.5" customWidth="1"/>
    <col min="6415" max="6415" width="8" customWidth="1"/>
    <col min="6416" max="6416" width="3.5" customWidth="1"/>
    <col min="6418" max="6418" width="32.6640625" customWidth="1"/>
    <col min="6419" max="6419" width="10.5" customWidth="1"/>
    <col min="6420" max="6420" width="9.5" customWidth="1"/>
    <col min="6421" max="6421" width="12.83203125" customWidth="1"/>
    <col min="6422" max="6422" width="9.5" customWidth="1"/>
    <col min="6423" max="6423" width="10.5" customWidth="1"/>
    <col min="6425" max="6425" width="10.6640625" customWidth="1"/>
    <col min="6426" max="6429" width="9.33203125" customWidth="1"/>
    <col min="6657" max="6657" width="2.6640625" customWidth="1"/>
    <col min="6658" max="6658" width="11.6640625" customWidth="1"/>
    <col min="6659" max="6659" width="13" customWidth="1"/>
    <col min="6660" max="6660" width="9.6640625" customWidth="1"/>
    <col min="6661" max="6661" width="6.83203125" customWidth="1"/>
    <col min="6662" max="6662" width="7.5" customWidth="1"/>
    <col min="6663" max="6663" width="3.33203125" customWidth="1"/>
    <col min="6664" max="6664" width="9.6640625" customWidth="1"/>
    <col min="6665" max="6665" width="9.5" customWidth="1"/>
    <col min="6668" max="6669" width="9.33203125" customWidth="1"/>
    <col min="6670" max="6670" width="9.5" customWidth="1"/>
    <col min="6671" max="6671" width="8" customWidth="1"/>
    <col min="6672" max="6672" width="3.5" customWidth="1"/>
    <col min="6674" max="6674" width="32.6640625" customWidth="1"/>
    <col min="6675" max="6675" width="10.5" customWidth="1"/>
    <col min="6676" max="6676" width="9.5" customWidth="1"/>
    <col min="6677" max="6677" width="12.83203125" customWidth="1"/>
    <col min="6678" max="6678" width="9.5" customWidth="1"/>
    <col min="6679" max="6679" width="10.5" customWidth="1"/>
    <col min="6681" max="6681" width="10.6640625" customWidth="1"/>
    <col min="6682" max="6685" width="9.33203125" customWidth="1"/>
    <col min="6913" max="6913" width="2.6640625" customWidth="1"/>
    <col min="6914" max="6914" width="11.6640625" customWidth="1"/>
    <col min="6915" max="6915" width="13" customWidth="1"/>
    <col min="6916" max="6916" width="9.6640625" customWidth="1"/>
    <col min="6917" max="6917" width="6.83203125" customWidth="1"/>
    <col min="6918" max="6918" width="7.5" customWidth="1"/>
    <col min="6919" max="6919" width="3.33203125" customWidth="1"/>
    <col min="6920" max="6920" width="9.6640625" customWidth="1"/>
    <col min="6921" max="6921" width="9.5" customWidth="1"/>
    <col min="6924" max="6925" width="9.33203125" customWidth="1"/>
    <col min="6926" max="6926" width="9.5" customWidth="1"/>
    <col min="6927" max="6927" width="8" customWidth="1"/>
    <col min="6928" max="6928" width="3.5" customWidth="1"/>
    <col min="6930" max="6930" width="32.6640625" customWidth="1"/>
    <col min="6931" max="6931" width="10.5" customWidth="1"/>
    <col min="6932" max="6932" width="9.5" customWidth="1"/>
    <col min="6933" max="6933" width="12.83203125" customWidth="1"/>
    <col min="6934" max="6934" width="9.5" customWidth="1"/>
    <col min="6935" max="6935" width="10.5" customWidth="1"/>
    <col min="6937" max="6937" width="10.6640625" customWidth="1"/>
    <col min="6938" max="6941" width="9.33203125" customWidth="1"/>
    <col min="7169" max="7169" width="2.6640625" customWidth="1"/>
    <col min="7170" max="7170" width="11.6640625" customWidth="1"/>
    <col min="7171" max="7171" width="13" customWidth="1"/>
    <col min="7172" max="7172" width="9.6640625" customWidth="1"/>
    <col min="7173" max="7173" width="6.83203125" customWidth="1"/>
    <col min="7174" max="7174" width="7.5" customWidth="1"/>
    <col min="7175" max="7175" width="3.33203125" customWidth="1"/>
    <col min="7176" max="7176" width="9.6640625" customWidth="1"/>
    <col min="7177" max="7177" width="9.5" customWidth="1"/>
    <col min="7180" max="7181" width="9.33203125" customWidth="1"/>
    <col min="7182" max="7182" width="9.5" customWidth="1"/>
    <col min="7183" max="7183" width="8" customWidth="1"/>
    <col min="7184" max="7184" width="3.5" customWidth="1"/>
    <col min="7186" max="7186" width="32.6640625" customWidth="1"/>
    <col min="7187" max="7187" width="10.5" customWidth="1"/>
    <col min="7188" max="7188" width="9.5" customWidth="1"/>
    <col min="7189" max="7189" width="12.83203125" customWidth="1"/>
    <col min="7190" max="7190" width="9.5" customWidth="1"/>
    <col min="7191" max="7191" width="10.5" customWidth="1"/>
    <col min="7193" max="7193" width="10.6640625" customWidth="1"/>
    <col min="7194" max="7197" width="9.33203125" customWidth="1"/>
    <col min="7425" max="7425" width="2.6640625" customWidth="1"/>
    <col min="7426" max="7426" width="11.6640625" customWidth="1"/>
    <col min="7427" max="7427" width="13" customWidth="1"/>
    <col min="7428" max="7428" width="9.6640625" customWidth="1"/>
    <col min="7429" max="7429" width="6.83203125" customWidth="1"/>
    <col min="7430" max="7430" width="7.5" customWidth="1"/>
    <col min="7431" max="7431" width="3.33203125" customWidth="1"/>
    <col min="7432" max="7432" width="9.6640625" customWidth="1"/>
    <col min="7433" max="7433" width="9.5" customWidth="1"/>
    <col min="7436" max="7437" width="9.33203125" customWidth="1"/>
    <col min="7438" max="7438" width="9.5" customWidth="1"/>
    <col min="7439" max="7439" width="8" customWidth="1"/>
    <col min="7440" max="7440" width="3.5" customWidth="1"/>
    <col min="7442" max="7442" width="32.6640625" customWidth="1"/>
    <col min="7443" max="7443" width="10.5" customWidth="1"/>
    <col min="7444" max="7444" width="9.5" customWidth="1"/>
    <col min="7445" max="7445" width="12.83203125" customWidth="1"/>
    <col min="7446" max="7446" width="9.5" customWidth="1"/>
    <col min="7447" max="7447" width="10.5" customWidth="1"/>
    <col min="7449" max="7449" width="10.6640625" customWidth="1"/>
    <col min="7450" max="7453" width="9.33203125" customWidth="1"/>
    <col min="7681" max="7681" width="2.6640625" customWidth="1"/>
    <col min="7682" max="7682" width="11.6640625" customWidth="1"/>
    <col min="7683" max="7683" width="13" customWidth="1"/>
    <col min="7684" max="7684" width="9.6640625" customWidth="1"/>
    <col min="7685" max="7685" width="6.83203125" customWidth="1"/>
    <col min="7686" max="7686" width="7.5" customWidth="1"/>
    <col min="7687" max="7687" width="3.33203125" customWidth="1"/>
    <col min="7688" max="7688" width="9.6640625" customWidth="1"/>
    <col min="7689" max="7689" width="9.5" customWidth="1"/>
    <col min="7692" max="7693" width="9.33203125" customWidth="1"/>
    <col min="7694" max="7694" width="9.5" customWidth="1"/>
    <col min="7695" max="7695" width="8" customWidth="1"/>
    <col min="7696" max="7696" width="3.5" customWidth="1"/>
    <col min="7698" max="7698" width="32.6640625" customWidth="1"/>
    <col min="7699" max="7699" width="10.5" customWidth="1"/>
    <col min="7700" max="7700" width="9.5" customWidth="1"/>
    <col min="7701" max="7701" width="12.83203125" customWidth="1"/>
    <col min="7702" max="7702" width="9.5" customWidth="1"/>
    <col min="7703" max="7703" width="10.5" customWidth="1"/>
    <col min="7705" max="7705" width="10.6640625" customWidth="1"/>
    <col min="7706" max="7709" width="9.33203125" customWidth="1"/>
    <col min="7937" max="7937" width="2.6640625" customWidth="1"/>
    <col min="7938" max="7938" width="11.6640625" customWidth="1"/>
    <col min="7939" max="7939" width="13" customWidth="1"/>
    <col min="7940" max="7940" width="9.6640625" customWidth="1"/>
    <col min="7941" max="7941" width="6.83203125" customWidth="1"/>
    <col min="7942" max="7942" width="7.5" customWidth="1"/>
    <col min="7943" max="7943" width="3.33203125" customWidth="1"/>
    <col min="7944" max="7944" width="9.6640625" customWidth="1"/>
    <col min="7945" max="7945" width="9.5" customWidth="1"/>
    <col min="7948" max="7949" width="9.33203125" customWidth="1"/>
    <col min="7950" max="7950" width="9.5" customWidth="1"/>
    <col min="7951" max="7951" width="8" customWidth="1"/>
    <col min="7952" max="7952" width="3.5" customWidth="1"/>
    <col min="7954" max="7954" width="32.6640625" customWidth="1"/>
    <col min="7955" max="7955" width="10.5" customWidth="1"/>
    <col min="7956" max="7956" width="9.5" customWidth="1"/>
    <col min="7957" max="7957" width="12.83203125" customWidth="1"/>
    <col min="7958" max="7958" width="9.5" customWidth="1"/>
    <col min="7959" max="7959" width="10.5" customWidth="1"/>
    <col min="7961" max="7961" width="10.6640625" customWidth="1"/>
    <col min="7962" max="7965" width="9.33203125" customWidth="1"/>
    <col min="8193" max="8193" width="2.6640625" customWidth="1"/>
    <col min="8194" max="8194" width="11.6640625" customWidth="1"/>
    <col min="8195" max="8195" width="13" customWidth="1"/>
    <col min="8196" max="8196" width="9.6640625" customWidth="1"/>
    <col min="8197" max="8197" width="6.83203125" customWidth="1"/>
    <col min="8198" max="8198" width="7.5" customWidth="1"/>
    <col min="8199" max="8199" width="3.33203125" customWidth="1"/>
    <col min="8200" max="8200" width="9.6640625" customWidth="1"/>
    <col min="8201" max="8201" width="9.5" customWidth="1"/>
    <col min="8204" max="8205" width="9.33203125" customWidth="1"/>
    <col min="8206" max="8206" width="9.5" customWidth="1"/>
    <col min="8207" max="8207" width="8" customWidth="1"/>
    <col min="8208" max="8208" width="3.5" customWidth="1"/>
    <col min="8210" max="8210" width="32.6640625" customWidth="1"/>
    <col min="8211" max="8211" width="10.5" customWidth="1"/>
    <col min="8212" max="8212" width="9.5" customWidth="1"/>
    <col min="8213" max="8213" width="12.83203125" customWidth="1"/>
    <col min="8214" max="8214" width="9.5" customWidth="1"/>
    <col min="8215" max="8215" width="10.5" customWidth="1"/>
    <col min="8217" max="8217" width="10.6640625" customWidth="1"/>
    <col min="8218" max="8221" width="9.33203125" customWidth="1"/>
    <col min="8449" max="8449" width="2.6640625" customWidth="1"/>
    <col min="8450" max="8450" width="11.6640625" customWidth="1"/>
    <col min="8451" max="8451" width="13" customWidth="1"/>
    <col min="8452" max="8452" width="9.6640625" customWidth="1"/>
    <col min="8453" max="8453" width="6.83203125" customWidth="1"/>
    <col min="8454" max="8454" width="7.5" customWidth="1"/>
    <col min="8455" max="8455" width="3.33203125" customWidth="1"/>
    <col min="8456" max="8456" width="9.6640625" customWidth="1"/>
    <col min="8457" max="8457" width="9.5" customWidth="1"/>
    <col min="8460" max="8461" width="9.33203125" customWidth="1"/>
    <col min="8462" max="8462" width="9.5" customWidth="1"/>
    <col min="8463" max="8463" width="8" customWidth="1"/>
    <col min="8464" max="8464" width="3.5" customWidth="1"/>
    <col min="8466" max="8466" width="32.6640625" customWidth="1"/>
    <col min="8467" max="8467" width="10.5" customWidth="1"/>
    <col min="8468" max="8468" width="9.5" customWidth="1"/>
    <col min="8469" max="8469" width="12.83203125" customWidth="1"/>
    <col min="8470" max="8470" width="9.5" customWidth="1"/>
    <col min="8471" max="8471" width="10.5" customWidth="1"/>
    <col min="8473" max="8473" width="10.6640625" customWidth="1"/>
    <col min="8474" max="8477" width="9.33203125" customWidth="1"/>
    <col min="8705" max="8705" width="2.6640625" customWidth="1"/>
    <col min="8706" max="8706" width="11.6640625" customWidth="1"/>
    <col min="8707" max="8707" width="13" customWidth="1"/>
    <col min="8708" max="8708" width="9.6640625" customWidth="1"/>
    <col min="8709" max="8709" width="6.83203125" customWidth="1"/>
    <col min="8710" max="8710" width="7.5" customWidth="1"/>
    <col min="8711" max="8711" width="3.33203125" customWidth="1"/>
    <col min="8712" max="8712" width="9.6640625" customWidth="1"/>
    <col min="8713" max="8713" width="9.5" customWidth="1"/>
    <col min="8716" max="8717" width="9.33203125" customWidth="1"/>
    <col min="8718" max="8718" width="9.5" customWidth="1"/>
    <col min="8719" max="8719" width="8" customWidth="1"/>
    <col min="8720" max="8720" width="3.5" customWidth="1"/>
    <col min="8722" max="8722" width="32.6640625" customWidth="1"/>
    <col min="8723" max="8723" width="10.5" customWidth="1"/>
    <col min="8724" max="8724" width="9.5" customWidth="1"/>
    <col min="8725" max="8725" width="12.83203125" customWidth="1"/>
    <col min="8726" max="8726" width="9.5" customWidth="1"/>
    <col min="8727" max="8727" width="10.5" customWidth="1"/>
    <col min="8729" max="8729" width="10.6640625" customWidth="1"/>
    <col min="8730" max="8733" width="9.33203125" customWidth="1"/>
    <col min="8961" max="8961" width="2.6640625" customWidth="1"/>
    <col min="8962" max="8962" width="11.6640625" customWidth="1"/>
    <col min="8963" max="8963" width="13" customWidth="1"/>
    <col min="8964" max="8964" width="9.6640625" customWidth="1"/>
    <col min="8965" max="8965" width="6.83203125" customWidth="1"/>
    <col min="8966" max="8966" width="7.5" customWidth="1"/>
    <col min="8967" max="8967" width="3.33203125" customWidth="1"/>
    <col min="8968" max="8968" width="9.6640625" customWidth="1"/>
    <col min="8969" max="8969" width="9.5" customWidth="1"/>
    <col min="8972" max="8973" width="9.33203125" customWidth="1"/>
    <col min="8974" max="8974" width="9.5" customWidth="1"/>
    <col min="8975" max="8975" width="8" customWidth="1"/>
    <col min="8976" max="8976" width="3.5" customWidth="1"/>
    <col min="8978" max="8978" width="32.6640625" customWidth="1"/>
    <col min="8979" max="8979" width="10.5" customWidth="1"/>
    <col min="8980" max="8980" width="9.5" customWidth="1"/>
    <col min="8981" max="8981" width="12.83203125" customWidth="1"/>
    <col min="8982" max="8982" width="9.5" customWidth="1"/>
    <col min="8983" max="8983" width="10.5" customWidth="1"/>
    <col min="8985" max="8985" width="10.6640625" customWidth="1"/>
    <col min="8986" max="8989" width="9.33203125" customWidth="1"/>
    <col min="9217" max="9217" width="2.6640625" customWidth="1"/>
    <col min="9218" max="9218" width="11.6640625" customWidth="1"/>
    <col min="9219" max="9219" width="13" customWidth="1"/>
    <col min="9220" max="9220" width="9.6640625" customWidth="1"/>
    <col min="9221" max="9221" width="6.83203125" customWidth="1"/>
    <col min="9222" max="9222" width="7.5" customWidth="1"/>
    <col min="9223" max="9223" width="3.33203125" customWidth="1"/>
    <col min="9224" max="9224" width="9.6640625" customWidth="1"/>
    <col min="9225" max="9225" width="9.5" customWidth="1"/>
    <col min="9228" max="9229" width="9.33203125" customWidth="1"/>
    <col min="9230" max="9230" width="9.5" customWidth="1"/>
    <col min="9231" max="9231" width="8" customWidth="1"/>
    <col min="9232" max="9232" width="3.5" customWidth="1"/>
    <col min="9234" max="9234" width="32.6640625" customWidth="1"/>
    <col min="9235" max="9235" width="10.5" customWidth="1"/>
    <col min="9236" max="9236" width="9.5" customWidth="1"/>
    <col min="9237" max="9237" width="12.83203125" customWidth="1"/>
    <col min="9238" max="9238" width="9.5" customWidth="1"/>
    <col min="9239" max="9239" width="10.5" customWidth="1"/>
    <col min="9241" max="9241" width="10.6640625" customWidth="1"/>
    <col min="9242" max="9245" width="9.33203125" customWidth="1"/>
    <col min="9473" max="9473" width="2.6640625" customWidth="1"/>
    <col min="9474" max="9474" width="11.6640625" customWidth="1"/>
    <col min="9475" max="9475" width="13" customWidth="1"/>
    <col min="9476" max="9476" width="9.6640625" customWidth="1"/>
    <col min="9477" max="9477" width="6.83203125" customWidth="1"/>
    <col min="9478" max="9478" width="7.5" customWidth="1"/>
    <col min="9479" max="9479" width="3.33203125" customWidth="1"/>
    <col min="9480" max="9480" width="9.6640625" customWidth="1"/>
    <col min="9481" max="9481" width="9.5" customWidth="1"/>
    <col min="9484" max="9485" width="9.33203125" customWidth="1"/>
    <col min="9486" max="9486" width="9.5" customWidth="1"/>
    <col min="9487" max="9487" width="8" customWidth="1"/>
    <col min="9488" max="9488" width="3.5" customWidth="1"/>
    <col min="9490" max="9490" width="32.6640625" customWidth="1"/>
    <col min="9491" max="9491" width="10.5" customWidth="1"/>
    <col min="9492" max="9492" width="9.5" customWidth="1"/>
    <col min="9493" max="9493" width="12.83203125" customWidth="1"/>
    <col min="9494" max="9494" width="9.5" customWidth="1"/>
    <col min="9495" max="9495" width="10.5" customWidth="1"/>
    <col min="9497" max="9497" width="10.6640625" customWidth="1"/>
    <col min="9498" max="9501" width="9.33203125" customWidth="1"/>
    <col min="9729" max="9729" width="2.6640625" customWidth="1"/>
    <col min="9730" max="9730" width="11.6640625" customWidth="1"/>
    <col min="9731" max="9731" width="13" customWidth="1"/>
    <col min="9732" max="9732" width="9.6640625" customWidth="1"/>
    <col min="9733" max="9733" width="6.83203125" customWidth="1"/>
    <col min="9734" max="9734" width="7.5" customWidth="1"/>
    <col min="9735" max="9735" width="3.33203125" customWidth="1"/>
    <col min="9736" max="9736" width="9.6640625" customWidth="1"/>
    <col min="9737" max="9737" width="9.5" customWidth="1"/>
    <col min="9740" max="9741" width="9.33203125" customWidth="1"/>
    <col min="9742" max="9742" width="9.5" customWidth="1"/>
    <col min="9743" max="9743" width="8" customWidth="1"/>
    <col min="9744" max="9744" width="3.5" customWidth="1"/>
    <col min="9746" max="9746" width="32.6640625" customWidth="1"/>
    <col min="9747" max="9747" width="10.5" customWidth="1"/>
    <col min="9748" max="9748" width="9.5" customWidth="1"/>
    <col min="9749" max="9749" width="12.83203125" customWidth="1"/>
    <col min="9750" max="9750" width="9.5" customWidth="1"/>
    <col min="9751" max="9751" width="10.5" customWidth="1"/>
    <col min="9753" max="9753" width="10.6640625" customWidth="1"/>
    <col min="9754" max="9757" width="9.33203125" customWidth="1"/>
    <col min="9985" max="9985" width="2.6640625" customWidth="1"/>
    <col min="9986" max="9986" width="11.6640625" customWidth="1"/>
    <col min="9987" max="9987" width="13" customWidth="1"/>
    <col min="9988" max="9988" width="9.6640625" customWidth="1"/>
    <col min="9989" max="9989" width="6.83203125" customWidth="1"/>
    <col min="9990" max="9990" width="7.5" customWidth="1"/>
    <col min="9991" max="9991" width="3.33203125" customWidth="1"/>
    <col min="9992" max="9992" width="9.6640625" customWidth="1"/>
    <col min="9993" max="9993" width="9.5" customWidth="1"/>
    <col min="9996" max="9997" width="9.33203125" customWidth="1"/>
    <col min="9998" max="9998" width="9.5" customWidth="1"/>
    <col min="9999" max="9999" width="8" customWidth="1"/>
    <col min="10000" max="10000" width="3.5" customWidth="1"/>
    <col min="10002" max="10002" width="32.6640625" customWidth="1"/>
    <col min="10003" max="10003" width="10.5" customWidth="1"/>
    <col min="10004" max="10004" width="9.5" customWidth="1"/>
    <col min="10005" max="10005" width="12.83203125" customWidth="1"/>
    <col min="10006" max="10006" width="9.5" customWidth="1"/>
    <col min="10007" max="10007" width="10.5" customWidth="1"/>
    <col min="10009" max="10009" width="10.6640625" customWidth="1"/>
    <col min="10010" max="10013" width="9.33203125" customWidth="1"/>
    <col min="10241" max="10241" width="2.6640625" customWidth="1"/>
    <col min="10242" max="10242" width="11.6640625" customWidth="1"/>
    <col min="10243" max="10243" width="13" customWidth="1"/>
    <col min="10244" max="10244" width="9.6640625" customWidth="1"/>
    <col min="10245" max="10245" width="6.83203125" customWidth="1"/>
    <col min="10246" max="10246" width="7.5" customWidth="1"/>
    <col min="10247" max="10247" width="3.33203125" customWidth="1"/>
    <col min="10248" max="10248" width="9.6640625" customWidth="1"/>
    <col min="10249" max="10249" width="9.5" customWidth="1"/>
    <col min="10252" max="10253" width="9.33203125" customWidth="1"/>
    <col min="10254" max="10254" width="9.5" customWidth="1"/>
    <col min="10255" max="10255" width="8" customWidth="1"/>
    <col min="10256" max="10256" width="3.5" customWidth="1"/>
    <col min="10258" max="10258" width="32.6640625" customWidth="1"/>
    <col min="10259" max="10259" width="10.5" customWidth="1"/>
    <col min="10260" max="10260" width="9.5" customWidth="1"/>
    <col min="10261" max="10261" width="12.83203125" customWidth="1"/>
    <col min="10262" max="10262" width="9.5" customWidth="1"/>
    <col min="10263" max="10263" width="10.5" customWidth="1"/>
    <col min="10265" max="10265" width="10.6640625" customWidth="1"/>
    <col min="10266" max="10269" width="9.33203125" customWidth="1"/>
    <col min="10497" max="10497" width="2.6640625" customWidth="1"/>
    <col min="10498" max="10498" width="11.6640625" customWidth="1"/>
    <col min="10499" max="10499" width="13" customWidth="1"/>
    <col min="10500" max="10500" width="9.6640625" customWidth="1"/>
    <col min="10501" max="10501" width="6.83203125" customWidth="1"/>
    <col min="10502" max="10502" width="7.5" customWidth="1"/>
    <col min="10503" max="10503" width="3.33203125" customWidth="1"/>
    <col min="10504" max="10504" width="9.6640625" customWidth="1"/>
    <col min="10505" max="10505" width="9.5" customWidth="1"/>
    <col min="10508" max="10509" width="9.33203125" customWidth="1"/>
    <col min="10510" max="10510" width="9.5" customWidth="1"/>
    <col min="10511" max="10511" width="8" customWidth="1"/>
    <col min="10512" max="10512" width="3.5" customWidth="1"/>
    <col min="10514" max="10514" width="32.6640625" customWidth="1"/>
    <col min="10515" max="10515" width="10.5" customWidth="1"/>
    <col min="10516" max="10516" width="9.5" customWidth="1"/>
    <col min="10517" max="10517" width="12.83203125" customWidth="1"/>
    <col min="10518" max="10518" width="9.5" customWidth="1"/>
    <col min="10519" max="10519" width="10.5" customWidth="1"/>
    <col min="10521" max="10521" width="10.6640625" customWidth="1"/>
    <col min="10522" max="10525" width="9.33203125" customWidth="1"/>
    <col min="10753" max="10753" width="2.6640625" customWidth="1"/>
    <col min="10754" max="10754" width="11.6640625" customWidth="1"/>
    <col min="10755" max="10755" width="13" customWidth="1"/>
    <col min="10756" max="10756" width="9.6640625" customWidth="1"/>
    <col min="10757" max="10757" width="6.83203125" customWidth="1"/>
    <col min="10758" max="10758" width="7.5" customWidth="1"/>
    <col min="10759" max="10759" width="3.33203125" customWidth="1"/>
    <col min="10760" max="10760" width="9.6640625" customWidth="1"/>
    <col min="10761" max="10761" width="9.5" customWidth="1"/>
    <col min="10764" max="10765" width="9.33203125" customWidth="1"/>
    <col min="10766" max="10766" width="9.5" customWidth="1"/>
    <col min="10767" max="10767" width="8" customWidth="1"/>
    <col min="10768" max="10768" width="3.5" customWidth="1"/>
    <col min="10770" max="10770" width="32.6640625" customWidth="1"/>
    <col min="10771" max="10771" width="10.5" customWidth="1"/>
    <col min="10772" max="10772" width="9.5" customWidth="1"/>
    <col min="10773" max="10773" width="12.83203125" customWidth="1"/>
    <col min="10774" max="10774" width="9.5" customWidth="1"/>
    <col min="10775" max="10775" width="10.5" customWidth="1"/>
    <col min="10777" max="10777" width="10.6640625" customWidth="1"/>
    <col min="10778" max="10781" width="9.33203125" customWidth="1"/>
    <col min="11009" max="11009" width="2.6640625" customWidth="1"/>
    <col min="11010" max="11010" width="11.6640625" customWidth="1"/>
    <col min="11011" max="11011" width="13" customWidth="1"/>
    <col min="11012" max="11012" width="9.6640625" customWidth="1"/>
    <col min="11013" max="11013" width="6.83203125" customWidth="1"/>
    <col min="11014" max="11014" width="7.5" customWidth="1"/>
    <col min="11015" max="11015" width="3.33203125" customWidth="1"/>
    <col min="11016" max="11016" width="9.6640625" customWidth="1"/>
    <col min="11017" max="11017" width="9.5" customWidth="1"/>
    <col min="11020" max="11021" width="9.33203125" customWidth="1"/>
    <col min="11022" max="11022" width="9.5" customWidth="1"/>
    <col min="11023" max="11023" width="8" customWidth="1"/>
    <col min="11024" max="11024" width="3.5" customWidth="1"/>
    <col min="11026" max="11026" width="32.6640625" customWidth="1"/>
    <col min="11027" max="11027" width="10.5" customWidth="1"/>
    <col min="11028" max="11028" width="9.5" customWidth="1"/>
    <col min="11029" max="11029" width="12.83203125" customWidth="1"/>
    <col min="11030" max="11030" width="9.5" customWidth="1"/>
    <col min="11031" max="11031" width="10.5" customWidth="1"/>
    <col min="11033" max="11033" width="10.6640625" customWidth="1"/>
    <col min="11034" max="11037" width="9.33203125" customWidth="1"/>
    <col min="11265" max="11265" width="2.6640625" customWidth="1"/>
    <col min="11266" max="11266" width="11.6640625" customWidth="1"/>
    <col min="11267" max="11267" width="13" customWidth="1"/>
    <col min="11268" max="11268" width="9.6640625" customWidth="1"/>
    <col min="11269" max="11269" width="6.83203125" customWidth="1"/>
    <col min="11270" max="11270" width="7.5" customWidth="1"/>
    <col min="11271" max="11271" width="3.33203125" customWidth="1"/>
    <col min="11272" max="11272" width="9.6640625" customWidth="1"/>
    <col min="11273" max="11273" width="9.5" customWidth="1"/>
    <col min="11276" max="11277" width="9.33203125" customWidth="1"/>
    <col min="11278" max="11278" width="9.5" customWidth="1"/>
    <col min="11279" max="11279" width="8" customWidth="1"/>
    <col min="11280" max="11280" width="3.5" customWidth="1"/>
    <col min="11282" max="11282" width="32.6640625" customWidth="1"/>
    <col min="11283" max="11283" width="10.5" customWidth="1"/>
    <col min="11284" max="11284" width="9.5" customWidth="1"/>
    <col min="11285" max="11285" width="12.83203125" customWidth="1"/>
    <col min="11286" max="11286" width="9.5" customWidth="1"/>
    <col min="11287" max="11287" width="10.5" customWidth="1"/>
    <col min="11289" max="11289" width="10.6640625" customWidth="1"/>
    <col min="11290" max="11293" width="9.33203125" customWidth="1"/>
    <col min="11521" max="11521" width="2.6640625" customWidth="1"/>
    <col min="11522" max="11522" width="11.6640625" customWidth="1"/>
    <col min="11523" max="11523" width="13" customWidth="1"/>
    <col min="11524" max="11524" width="9.6640625" customWidth="1"/>
    <col min="11525" max="11525" width="6.83203125" customWidth="1"/>
    <col min="11526" max="11526" width="7.5" customWidth="1"/>
    <col min="11527" max="11527" width="3.33203125" customWidth="1"/>
    <col min="11528" max="11528" width="9.6640625" customWidth="1"/>
    <col min="11529" max="11529" width="9.5" customWidth="1"/>
    <col min="11532" max="11533" width="9.33203125" customWidth="1"/>
    <col min="11534" max="11534" width="9.5" customWidth="1"/>
    <col min="11535" max="11535" width="8" customWidth="1"/>
    <col min="11536" max="11536" width="3.5" customWidth="1"/>
    <col min="11538" max="11538" width="32.6640625" customWidth="1"/>
    <col min="11539" max="11539" width="10.5" customWidth="1"/>
    <col min="11540" max="11540" width="9.5" customWidth="1"/>
    <col min="11541" max="11541" width="12.83203125" customWidth="1"/>
    <col min="11542" max="11542" width="9.5" customWidth="1"/>
    <col min="11543" max="11543" width="10.5" customWidth="1"/>
    <col min="11545" max="11545" width="10.6640625" customWidth="1"/>
    <col min="11546" max="11549" width="9.33203125" customWidth="1"/>
    <col min="11777" max="11777" width="2.6640625" customWidth="1"/>
    <col min="11778" max="11778" width="11.6640625" customWidth="1"/>
    <col min="11779" max="11779" width="13" customWidth="1"/>
    <col min="11780" max="11780" width="9.6640625" customWidth="1"/>
    <col min="11781" max="11781" width="6.83203125" customWidth="1"/>
    <col min="11782" max="11782" width="7.5" customWidth="1"/>
    <col min="11783" max="11783" width="3.33203125" customWidth="1"/>
    <col min="11784" max="11784" width="9.6640625" customWidth="1"/>
    <col min="11785" max="11785" width="9.5" customWidth="1"/>
    <col min="11788" max="11789" width="9.33203125" customWidth="1"/>
    <col min="11790" max="11790" width="9.5" customWidth="1"/>
    <col min="11791" max="11791" width="8" customWidth="1"/>
    <col min="11792" max="11792" width="3.5" customWidth="1"/>
    <col min="11794" max="11794" width="32.6640625" customWidth="1"/>
    <col min="11795" max="11795" width="10.5" customWidth="1"/>
    <col min="11796" max="11796" width="9.5" customWidth="1"/>
    <col min="11797" max="11797" width="12.83203125" customWidth="1"/>
    <col min="11798" max="11798" width="9.5" customWidth="1"/>
    <col min="11799" max="11799" width="10.5" customWidth="1"/>
    <col min="11801" max="11801" width="10.6640625" customWidth="1"/>
    <col min="11802" max="11805" width="9.33203125" customWidth="1"/>
    <col min="12033" max="12033" width="2.6640625" customWidth="1"/>
    <col min="12034" max="12034" width="11.6640625" customWidth="1"/>
    <col min="12035" max="12035" width="13" customWidth="1"/>
    <col min="12036" max="12036" width="9.6640625" customWidth="1"/>
    <col min="12037" max="12037" width="6.83203125" customWidth="1"/>
    <col min="12038" max="12038" width="7.5" customWidth="1"/>
    <col min="12039" max="12039" width="3.33203125" customWidth="1"/>
    <col min="12040" max="12040" width="9.6640625" customWidth="1"/>
    <col min="12041" max="12041" width="9.5" customWidth="1"/>
    <col min="12044" max="12045" width="9.33203125" customWidth="1"/>
    <col min="12046" max="12046" width="9.5" customWidth="1"/>
    <col min="12047" max="12047" width="8" customWidth="1"/>
    <col min="12048" max="12048" width="3.5" customWidth="1"/>
    <col min="12050" max="12050" width="32.6640625" customWidth="1"/>
    <col min="12051" max="12051" width="10.5" customWidth="1"/>
    <col min="12052" max="12052" width="9.5" customWidth="1"/>
    <col min="12053" max="12053" width="12.83203125" customWidth="1"/>
    <col min="12054" max="12054" width="9.5" customWidth="1"/>
    <col min="12055" max="12055" width="10.5" customWidth="1"/>
    <col min="12057" max="12057" width="10.6640625" customWidth="1"/>
    <col min="12058" max="12061" width="9.33203125" customWidth="1"/>
    <col min="12289" max="12289" width="2.6640625" customWidth="1"/>
    <col min="12290" max="12290" width="11.6640625" customWidth="1"/>
    <col min="12291" max="12291" width="13" customWidth="1"/>
    <col min="12292" max="12292" width="9.6640625" customWidth="1"/>
    <col min="12293" max="12293" width="6.83203125" customWidth="1"/>
    <col min="12294" max="12294" width="7.5" customWidth="1"/>
    <col min="12295" max="12295" width="3.33203125" customWidth="1"/>
    <col min="12296" max="12296" width="9.6640625" customWidth="1"/>
    <col min="12297" max="12297" width="9.5" customWidth="1"/>
    <col min="12300" max="12301" width="9.33203125" customWidth="1"/>
    <col min="12302" max="12302" width="9.5" customWidth="1"/>
    <col min="12303" max="12303" width="8" customWidth="1"/>
    <col min="12304" max="12304" width="3.5" customWidth="1"/>
    <col min="12306" max="12306" width="32.6640625" customWidth="1"/>
    <col min="12307" max="12307" width="10.5" customWidth="1"/>
    <col min="12308" max="12308" width="9.5" customWidth="1"/>
    <col min="12309" max="12309" width="12.83203125" customWidth="1"/>
    <col min="12310" max="12310" width="9.5" customWidth="1"/>
    <col min="12311" max="12311" width="10.5" customWidth="1"/>
    <col min="12313" max="12313" width="10.6640625" customWidth="1"/>
    <col min="12314" max="12317" width="9.33203125" customWidth="1"/>
    <col min="12545" max="12545" width="2.6640625" customWidth="1"/>
    <col min="12546" max="12546" width="11.6640625" customWidth="1"/>
    <col min="12547" max="12547" width="13" customWidth="1"/>
    <col min="12548" max="12548" width="9.6640625" customWidth="1"/>
    <col min="12549" max="12549" width="6.83203125" customWidth="1"/>
    <col min="12550" max="12550" width="7.5" customWidth="1"/>
    <col min="12551" max="12551" width="3.33203125" customWidth="1"/>
    <col min="12552" max="12552" width="9.6640625" customWidth="1"/>
    <col min="12553" max="12553" width="9.5" customWidth="1"/>
    <col min="12556" max="12557" width="9.33203125" customWidth="1"/>
    <col min="12558" max="12558" width="9.5" customWidth="1"/>
    <col min="12559" max="12559" width="8" customWidth="1"/>
    <col min="12560" max="12560" width="3.5" customWidth="1"/>
    <col min="12562" max="12562" width="32.6640625" customWidth="1"/>
    <col min="12563" max="12563" width="10.5" customWidth="1"/>
    <col min="12564" max="12564" width="9.5" customWidth="1"/>
    <col min="12565" max="12565" width="12.83203125" customWidth="1"/>
    <col min="12566" max="12566" width="9.5" customWidth="1"/>
    <col min="12567" max="12567" width="10.5" customWidth="1"/>
    <col min="12569" max="12569" width="10.6640625" customWidth="1"/>
    <col min="12570" max="12573" width="9.33203125" customWidth="1"/>
    <col min="12801" max="12801" width="2.6640625" customWidth="1"/>
    <col min="12802" max="12802" width="11.6640625" customWidth="1"/>
    <col min="12803" max="12803" width="13" customWidth="1"/>
    <col min="12804" max="12804" width="9.6640625" customWidth="1"/>
    <col min="12805" max="12805" width="6.83203125" customWidth="1"/>
    <col min="12806" max="12806" width="7.5" customWidth="1"/>
    <col min="12807" max="12807" width="3.33203125" customWidth="1"/>
    <col min="12808" max="12808" width="9.6640625" customWidth="1"/>
    <col min="12809" max="12809" width="9.5" customWidth="1"/>
    <col min="12812" max="12813" width="9.33203125" customWidth="1"/>
    <col min="12814" max="12814" width="9.5" customWidth="1"/>
    <col min="12815" max="12815" width="8" customWidth="1"/>
    <col min="12816" max="12816" width="3.5" customWidth="1"/>
    <col min="12818" max="12818" width="32.6640625" customWidth="1"/>
    <col min="12819" max="12819" width="10.5" customWidth="1"/>
    <col min="12820" max="12820" width="9.5" customWidth="1"/>
    <col min="12821" max="12821" width="12.83203125" customWidth="1"/>
    <col min="12822" max="12822" width="9.5" customWidth="1"/>
    <col min="12823" max="12823" width="10.5" customWidth="1"/>
    <col min="12825" max="12825" width="10.6640625" customWidth="1"/>
    <col min="12826" max="12829" width="9.33203125" customWidth="1"/>
    <col min="13057" max="13057" width="2.6640625" customWidth="1"/>
    <col min="13058" max="13058" width="11.6640625" customWidth="1"/>
    <col min="13059" max="13059" width="13" customWidth="1"/>
    <col min="13060" max="13060" width="9.6640625" customWidth="1"/>
    <col min="13061" max="13061" width="6.83203125" customWidth="1"/>
    <col min="13062" max="13062" width="7.5" customWidth="1"/>
    <col min="13063" max="13063" width="3.33203125" customWidth="1"/>
    <col min="13064" max="13064" width="9.6640625" customWidth="1"/>
    <col min="13065" max="13065" width="9.5" customWidth="1"/>
    <col min="13068" max="13069" width="9.33203125" customWidth="1"/>
    <col min="13070" max="13070" width="9.5" customWidth="1"/>
    <col min="13071" max="13071" width="8" customWidth="1"/>
    <col min="13072" max="13072" width="3.5" customWidth="1"/>
    <col min="13074" max="13074" width="32.6640625" customWidth="1"/>
    <col min="13075" max="13075" width="10.5" customWidth="1"/>
    <col min="13076" max="13076" width="9.5" customWidth="1"/>
    <col min="13077" max="13077" width="12.83203125" customWidth="1"/>
    <col min="13078" max="13078" width="9.5" customWidth="1"/>
    <col min="13079" max="13079" width="10.5" customWidth="1"/>
    <col min="13081" max="13081" width="10.6640625" customWidth="1"/>
    <col min="13082" max="13085" width="9.33203125" customWidth="1"/>
    <col min="13313" max="13313" width="2.6640625" customWidth="1"/>
    <col min="13314" max="13314" width="11.6640625" customWidth="1"/>
    <col min="13315" max="13315" width="13" customWidth="1"/>
    <col min="13316" max="13316" width="9.6640625" customWidth="1"/>
    <col min="13317" max="13317" width="6.83203125" customWidth="1"/>
    <col min="13318" max="13318" width="7.5" customWidth="1"/>
    <col min="13319" max="13319" width="3.33203125" customWidth="1"/>
    <col min="13320" max="13320" width="9.6640625" customWidth="1"/>
    <col min="13321" max="13321" width="9.5" customWidth="1"/>
    <col min="13324" max="13325" width="9.33203125" customWidth="1"/>
    <col min="13326" max="13326" width="9.5" customWidth="1"/>
    <col min="13327" max="13327" width="8" customWidth="1"/>
    <col min="13328" max="13328" width="3.5" customWidth="1"/>
    <col min="13330" max="13330" width="32.6640625" customWidth="1"/>
    <col min="13331" max="13331" width="10.5" customWidth="1"/>
    <col min="13332" max="13332" width="9.5" customWidth="1"/>
    <col min="13333" max="13333" width="12.83203125" customWidth="1"/>
    <col min="13334" max="13334" width="9.5" customWidth="1"/>
    <col min="13335" max="13335" width="10.5" customWidth="1"/>
    <col min="13337" max="13337" width="10.6640625" customWidth="1"/>
    <col min="13338" max="13341" width="9.33203125" customWidth="1"/>
    <col min="13569" max="13569" width="2.6640625" customWidth="1"/>
    <col min="13570" max="13570" width="11.6640625" customWidth="1"/>
    <col min="13571" max="13571" width="13" customWidth="1"/>
    <col min="13572" max="13572" width="9.6640625" customWidth="1"/>
    <col min="13573" max="13573" width="6.83203125" customWidth="1"/>
    <col min="13574" max="13574" width="7.5" customWidth="1"/>
    <col min="13575" max="13575" width="3.33203125" customWidth="1"/>
    <col min="13576" max="13576" width="9.6640625" customWidth="1"/>
    <col min="13577" max="13577" width="9.5" customWidth="1"/>
    <col min="13580" max="13581" width="9.33203125" customWidth="1"/>
    <col min="13582" max="13582" width="9.5" customWidth="1"/>
    <col min="13583" max="13583" width="8" customWidth="1"/>
    <col min="13584" max="13584" width="3.5" customWidth="1"/>
    <col min="13586" max="13586" width="32.6640625" customWidth="1"/>
    <col min="13587" max="13587" width="10.5" customWidth="1"/>
    <col min="13588" max="13588" width="9.5" customWidth="1"/>
    <col min="13589" max="13589" width="12.83203125" customWidth="1"/>
    <col min="13590" max="13590" width="9.5" customWidth="1"/>
    <col min="13591" max="13591" width="10.5" customWidth="1"/>
    <col min="13593" max="13593" width="10.6640625" customWidth="1"/>
    <col min="13594" max="13597" width="9.33203125" customWidth="1"/>
    <col min="13825" max="13825" width="2.6640625" customWidth="1"/>
    <col min="13826" max="13826" width="11.6640625" customWidth="1"/>
    <col min="13827" max="13827" width="13" customWidth="1"/>
    <col min="13828" max="13828" width="9.6640625" customWidth="1"/>
    <col min="13829" max="13829" width="6.83203125" customWidth="1"/>
    <col min="13830" max="13830" width="7.5" customWidth="1"/>
    <col min="13831" max="13831" width="3.33203125" customWidth="1"/>
    <col min="13832" max="13832" width="9.6640625" customWidth="1"/>
    <col min="13833" max="13833" width="9.5" customWidth="1"/>
    <col min="13836" max="13837" width="9.33203125" customWidth="1"/>
    <col min="13838" max="13838" width="9.5" customWidth="1"/>
    <col min="13839" max="13839" width="8" customWidth="1"/>
    <col min="13840" max="13840" width="3.5" customWidth="1"/>
    <col min="13842" max="13842" width="32.6640625" customWidth="1"/>
    <col min="13843" max="13843" width="10.5" customWidth="1"/>
    <col min="13844" max="13844" width="9.5" customWidth="1"/>
    <col min="13845" max="13845" width="12.83203125" customWidth="1"/>
    <col min="13846" max="13846" width="9.5" customWidth="1"/>
    <col min="13847" max="13847" width="10.5" customWidth="1"/>
    <col min="13849" max="13849" width="10.6640625" customWidth="1"/>
    <col min="13850" max="13853" width="9.33203125" customWidth="1"/>
    <col min="14081" max="14081" width="2.6640625" customWidth="1"/>
    <col min="14082" max="14082" width="11.6640625" customWidth="1"/>
    <col min="14083" max="14083" width="13" customWidth="1"/>
    <col min="14084" max="14084" width="9.6640625" customWidth="1"/>
    <col min="14085" max="14085" width="6.83203125" customWidth="1"/>
    <col min="14086" max="14086" width="7.5" customWidth="1"/>
    <col min="14087" max="14087" width="3.33203125" customWidth="1"/>
    <col min="14088" max="14088" width="9.6640625" customWidth="1"/>
    <col min="14089" max="14089" width="9.5" customWidth="1"/>
    <col min="14092" max="14093" width="9.33203125" customWidth="1"/>
    <col min="14094" max="14094" width="9.5" customWidth="1"/>
    <col min="14095" max="14095" width="8" customWidth="1"/>
    <col min="14096" max="14096" width="3.5" customWidth="1"/>
    <col min="14098" max="14098" width="32.6640625" customWidth="1"/>
    <col min="14099" max="14099" width="10.5" customWidth="1"/>
    <col min="14100" max="14100" width="9.5" customWidth="1"/>
    <col min="14101" max="14101" width="12.83203125" customWidth="1"/>
    <col min="14102" max="14102" width="9.5" customWidth="1"/>
    <col min="14103" max="14103" width="10.5" customWidth="1"/>
    <col min="14105" max="14105" width="10.6640625" customWidth="1"/>
    <col min="14106" max="14109" width="9.33203125" customWidth="1"/>
    <col min="14337" max="14337" width="2.6640625" customWidth="1"/>
    <col min="14338" max="14338" width="11.6640625" customWidth="1"/>
    <col min="14339" max="14339" width="13" customWidth="1"/>
    <col min="14340" max="14340" width="9.6640625" customWidth="1"/>
    <col min="14341" max="14341" width="6.83203125" customWidth="1"/>
    <col min="14342" max="14342" width="7.5" customWidth="1"/>
    <col min="14343" max="14343" width="3.33203125" customWidth="1"/>
    <col min="14344" max="14344" width="9.6640625" customWidth="1"/>
    <col min="14345" max="14345" width="9.5" customWidth="1"/>
    <col min="14348" max="14349" width="9.33203125" customWidth="1"/>
    <col min="14350" max="14350" width="9.5" customWidth="1"/>
    <col min="14351" max="14351" width="8" customWidth="1"/>
    <col min="14352" max="14352" width="3.5" customWidth="1"/>
    <col min="14354" max="14354" width="32.6640625" customWidth="1"/>
    <col min="14355" max="14355" width="10.5" customWidth="1"/>
    <col min="14356" max="14356" width="9.5" customWidth="1"/>
    <col min="14357" max="14357" width="12.83203125" customWidth="1"/>
    <col min="14358" max="14358" width="9.5" customWidth="1"/>
    <col min="14359" max="14359" width="10.5" customWidth="1"/>
    <col min="14361" max="14361" width="10.6640625" customWidth="1"/>
    <col min="14362" max="14365" width="9.33203125" customWidth="1"/>
    <col min="14593" max="14593" width="2.6640625" customWidth="1"/>
    <col min="14594" max="14594" width="11.6640625" customWidth="1"/>
    <col min="14595" max="14595" width="13" customWidth="1"/>
    <col min="14596" max="14596" width="9.6640625" customWidth="1"/>
    <col min="14597" max="14597" width="6.83203125" customWidth="1"/>
    <col min="14598" max="14598" width="7.5" customWidth="1"/>
    <col min="14599" max="14599" width="3.33203125" customWidth="1"/>
    <col min="14600" max="14600" width="9.6640625" customWidth="1"/>
    <col min="14601" max="14601" width="9.5" customWidth="1"/>
    <col min="14604" max="14605" width="9.33203125" customWidth="1"/>
    <col min="14606" max="14606" width="9.5" customWidth="1"/>
    <col min="14607" max="14607" width="8" customWidth="1"/>
    <col min="14608" max="14608" width="3.5" customWidth="1"/>
    <col min="14610" max="14610" width="32.6640625" customWidth="1"/>
    <col min="14611" max="14611" width="10.5" customWidth="1"/>
    <col min="14612" max="14612" width="9.5" customWidth="1"/>
    <col min="14613" max="14613" width="12.83203125" customWidth="1"/>
    <col min="14614" max="14614" width="9.5" customWidth="1"/>
    <col min="14615" max="14615" width="10.5" customWidth="1"/>
    <col min="14617" max="14617" width="10.6640625" customWidth="1"/>
    <col min="14618" max="14621" width="9.33203125" customWidth="1"/>
    <col min="14849" max="14849" width="2.6640625" customWidth="1"/>
    <col min="14850" max="14850" width="11.6640625" customWidth="1"/>
    <col min="14851" max="14851" width="13" customWidth="1"/>
    <col min="14852" max="14852" width="9.6640625" customWidth="1"/>
    <col min="14853" max="14853" width="6.83203125" customWidth="1"/>
    <col min="14854" max="14854" width="7.5" customWidth="1"/>
    <col min="14855" max="14855" width="3.33203125" customWidth="1"/>
    <col min="14856" max="14856" width="9.6640625" customWidth="1"/>
    <col min="14857" max="14857" width="9.5" customWidth="1"/>
    <col min="14860" max="14861" width="9.33203125" customWidth="1"/>
    <col min="14862" max="14862" width="9.5" customWidth="1"/>
    <col min="14863" max="14863" width="8" customWidth="1"/>
    <col min="14864" max="14864" width="3.5" customWidth="1"/>
    <col min="14866" max="14866" width="32.6640625" customWidth="1"/>
    <col min="14867" max="14867" width="10.5" customWidth="1"/>
    <col min="14868" max="14868" width="9.5" customWidth="1"/>
    <col min="14869" max="14869" width="12.83203125" customWidth="1"/>
    <col min="14870" max="14870" width="9.5" customWidth="1"/>
    <col min="14871" max="14871" width="10.5" customWidth="1"/>
    <col min="14873" max="14873" width="10.6640625" customWidth="1"/>
    <col min="14874" max="14877" width="9.33203125" customWidth="1"/>
    <col min="15105" max="15105" width="2.6640625" customWidth="1"/>
    <col min="15106" max="15106" width="11.6640625" customWidth="1"/>
    <col min="15107" max="15107" width="13" customWidth="1"/>
    <col min="15108" max="15108" width="9.6640625" customWidth="1"/>
    <col min="15109" max="15109" width="6.83203125" customWidth="1"/>
    <col min="15110" max="15110" width="7.5" customWidth="1"/>
    <col min="15111" max="15111" width="3.33203125" customWidth="1"/>
    <col min="15112" max="15112" width="9.6640625" customWidth="1"/>
    <col min="15113" max="15113" width="9.5" customWidth="1"/>
    <col min="15116" max="15117" width="9.33203125" customWidth="1"/>
    <col min="15118" max="15118" width="9.5" customWidth="1"/>
    <col min="15119" max="15119" width="8" customWidth="1"/>
    <col min="15120" max="15120" width="3.5" customWidth="1"/>
    <col min="15122" max="15122" width="32.6640625" customWidth="1"/>
    <col min="15123" max="15123" width="10.5" customWidth="1"/>
    <col min="15124" max="15124" width="9.5" customWidth="1"/>
    <col min="15125" max="15125" width="12.83203125" customWidth="1"/>
    <col min="15126" max="15126" width="9.5" customWidth="1"/>
    <col min="15127" max="15127" width="10.5" customWidth="1"/>
    <col min="15129" max="15129" width="10.6640625" customWidth="1"/>
    <col min="15130" max="15133" width="9.33203125" customWidth="1"/>
    <col min="15361" max="15361" width="2.6640625" customWidth="1"/>
    <col min="15362" max="15362" width="11.6640625" customWidth="1"/>
    <col min="15363" max="15363" width="13" customWidth="1"/>
    <col min="15364" max="15364" width="9.6640625" customWidth="1"/>
    <col min="15365" max="15365" width="6.83203125" customWidth="1"/>
    <col min="15366" max="15366" width="7.5" customWidth="1"/>
    <col min="15367" max="15367" width="3.33203125" customWidth="1"/>
    <col min="15368" max="15368" width="9.6640625" customWidth="1"/>
    <col min="15369" max="15369" width="9.5" customWidth="1"/>
    <col min="15372" max="15373" width="9.33203125" customWidth="1"/>
    <col min="15374" max="15374" width="9.5" customWidth="1"/>
    <col min="15375" max="15375" width="8" customWidth="1"/>
    <col min="15376" max="15376" width="3.5" customWidth="1"/>
    <col min="15378" max="15378" width="32.6640625" customWidth="1"/>
    <col min="15379" max="15379" width="10.5" customWidth="1"/>
    <col min="15380" max="15380" width="9.5" customWidth="1"/>
    <col min="15381" max="15381" width="12.83203125" customWidth="1"/>
    <col min="15382" max="15382" width="9.5" customWidth="1"/>
    <col min="15383" max="15383" width="10.5" customWidth="1"/>
    <col min="15385" max="15385" width="10.6640625" customWidth="1"/>
    <col min="15386" max="15389" width="9.33203125" customWidth="1"/>
    <col min="15617" max="15617" width="2.6640625" customWidth="1"/>
    <col min="15618" max="15618" width="11.6640625" customWidth="1"/>
    <col min="15619" max="15619" width="13" customWidth="1"/>
    <col min="15620" max="15620" width="9.6640625" customWidth="1"/>
    <col min="15621" max="15621" width="6.83203125" customWidth="1"/>
    <col min="15622" max="15622" width="7.5" customWidth="1"/>
    <col min="15623" max="15623" width="3.33203125" customWidth="1"/>
    <col min="15624" max="15624" width="9.6640625" customWidth="1"/>
    <col min="15625" max="15625" width="9.5" customWidth="1"/>
    <col min="15628" max="15629" width="9.33203125" customWidth="1"/>
    <col min="15630" max="15630" width="9.5" customWidth="1"/>
    <col min="15631" max="15631" width="8" customWidth="1"/>
    <col min="15632" max="15632" width="3.5" customWidth="1"/>
    <col min="15634" max="15634" width="32.6640625" customWidth="1"/>
    <col min="15635" max="15635" width="10.5" customWidth="1"/>
    <col min="15636" max="15636" width="9.5" customWidth="1"/>
    <col min="15637" max="15637" width="12.83203125" customWidth="1"/>
    <col min="15638" max="15638" width="9.5" customWidth="1"/>
    <col min="15639" max="15639" width="10.5" customWidth="1"/>
    <col min="15641" max="15641" width="10.6640625" customWidth="1"/>
    <col min="15642" max="15645" width="9.33203125" customWidth="1"/>
    <col min="15873" max="15873" width="2.6640625" customWidth="1"/>
    <col min="15874" max="15874" width="11.6640625" customWidth="1"/>
    <col min="15875" max="15875" width="13" customWidth="1"/>
    <col min="15876" max="15876" width="9.6640625" customWidth="1"/>
    <col min="15877" max="15877" width="6.83203125" customWidth="1"/>
    <col min="15878" max="15878" width="7.5" customWidth="1"/>
    <col min="15879" max="15879" width="3.33203125" customWidth="1"/>
    <col min="15880" max="15880" width="9.6640625" customWidth="1"/>
    <col min="15881" max="15881" width="9.5" customWidth="1"/>
    <col min="15884" max="15885" width="9.33203125" customWidth="1"/>
    <col min="15886" max="15886" width="9.5" customWidth="1"/>
    <col min="15887" max="15887" width="8" customWidth="1"/>
    <col min="15888" max="15888" width="3.5" customWidth="1"/>
    <col min="15890" max="15890" width="32.6640625" customWidth="1"/>
    <col min="15891" max="15891" width="10.5" customWidth="1"/>
    <col min="15892" max="15892" width="9.5" customWidth="1"/>
    <col min="15893" max="15893" width="12.83203125" customWidth="1"/>
    <col min="15894" max="15894" width="9.5" customWidth="1"/>
    <col min="15895" max="15895" width="10.5" customWidth="1"/>
    <col min="15897" max="15897" width="10.6640625" customWidth="1"/>
    <col min="15898" max="15901" width="9.33203125" customWidth="1"/>
    <col min="16129" max="16129" width="2.6640625" customWidth="1"/>
    <col min="16130" max="16130" width="11.6640625" customWidth="1"/>
    <col min="16131" max="16131" width="13" customWidth="1"/>
    <col min="16132" max="16132" width="9.6640625" customWidth="1"/>
    <col min="16133" max="16133" width="6.83203125" customWidth="1"/>
    <col min="16134" max="16134" width="7.5" customWidth="1"/>
    <col min="16135" max="16135" width="3.33203125" customWidth="1"/>
    <col min="16136" max="16136" width="9.6640625" customWidth="1"/>
    <col min="16137" max="16137" width="9.5" customWidth="1"/>
    <col min="16140" max="16141" width="9.33203125" customWidth="1"/>
    <col min="16142" max="16142" width="9.5" customWidth="1"/>
    <col min="16143" max="16143" width="8" customWidth="1"/>
    <col min="16144" max="16144" width="3.5" customWidth="1"/>
    <col min="16146" max="16146" width="32.6640625" customWidth="1"/>
    <col min="16147" max="16147" width="10.5" customWidth="1"/>
    <col min="16148" max="16148" width="9.5" customWidth="1"/>
    <col min="16149" max="16149" width="12.83203125" customWidth="1"/>
    <col min="16150" max="16150" width="9.5" customWidth="1"/>
    <col min="16151" max="16151" width="10.5" customWidth="1"/>
    <col min="16153" max="16153" width="10.6640625" customWidth="1"/>
    <col min="16154" max="16157" width="9.33203125" customWidth="1"/>
  </cols>
  <sheetData>
    <row r="1" spans="1:29" x14ac:dyDescent="0.2">
      <c r="C1" s="166" t="s">
        <v>115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</row>
    <row r="3" spans="1:29" x14ac:dyDescent="0.2">
      <c r="B3" s="142" t="s">
        <v>116</v>
      </c>
    </row>
    <row r="5" spans="1:29" x14ac:dyDescent="0.2">
      <c r="B5" s="66" t="s">
        <v>55</v>
      </c>
      <c r="C5" s="67"/>
    </row>
    <row r="6" spans="1:29" x14ac:dyDescent="0.2">
      <c r="B6" s="68" t="s">
        <v>56</v>
      </c>
      <c r="C6" s="68" t="s">
        <v>57</v>
      </c>
    </row>
    <row r="7" spans="1:29" x14ac:dyDescent="0.2">
      <c r="B7" s="69">
        <v>1.3927728119739291</v>
      </c>
      <c r="C7" s="70">
        <f>439.932854+472.41802*((B7-2.64)/1.64)^1+37.684494*((B7-2.64)/1.64)^2+7.472018*((B7-2.64)/1.64)^3+2.920828*((B7-2.64)/1.64)^4+0.005184*((B7-2.64)/1.64)^5-0.963864*((B7-2.64)/1.64)^6-0.188732*((B7-2.64)/1.64)^7+0.191203*((B7-2.64)/1.64)^8+0.049025*((B7-2.64)/1.64)^9</f>
        <v>100.00000918613536</v>
      </c>
    </row>
    <row r="8" spans="1:29" x14ac:dyDescent="0.2">
      <c r="B8" s="68" t="s">
        <v>58</v>
      </c>
      <c r="C8" s="68" t="s">
        <v>59</v>
      </c>
    </row>
    <row r="9" spans="1:29" ht="16" x14ac:dyDescent="0.2">
      <c r="B9" s="69">
        <v>373.15</v>
      </c>
      <c r="C9" s="71">
        <f>2.78157254+1.64650916*((B9-754.15)/481)^1-0.1371439*((B9-754.15)/481)^2-0.00649767*((B9-754.15)/481)^3-0.00234444*((B9-754.15)/481)^4+0.00511868*((B9-754.15)/481)^5+0.00187982*((B9-754.15)/481)^6-0.00204472*((B9-754.15)/481)^7-0.00046122*((B9-754.15)/481)^8+0.00045724*((B9-754.15)/481)^9</f>
        <v>1.3927728119739291</v>
      </c>
      <c r="R9" s="42" t="s">
        <v>196</v>
      </c>
    </row>
    <row r="11" spans="1:29" ht="16" x14ac:dyDescent="0.2">
      <c r="A11" s="72"/>
      <c r="B11" s="73"/>
      <c r="C11" s="73"/>
      <c r="D11" s="73"/>
      <c r="E11" s="73"/>
      <c r="F11" s="73"/>
      <c r="G11" s="139"/>
      <c r="H11" s="73"/>
      <c r="I11" s="73"/>
      <c r="J11" s="73"/>
      <c r="K11" s="73"/>
      <c r="L11" s="73"/>
      <c r="M11" s="73"/>
      <c r="N11" s="73"/>
      <c r="O11" s="73"/>
      <c r="P11" s="74"/>
      <c r="Q11" s="34"/>
      <c r="S11" s="2" t="s">
        <v>29</v>
      </c>
      <c r="T11" s="2" t="s">
        <v>30</v>
      </c>
      <c r="U11" s="2" t="s">
        <v>183</v>
      </c>
      <c r="V11" s="2" t="s">
        <v>31</v>
      </c>
      <c r="W11" s="2" t="s">
        <v>60</v>
      </c>
      <c r="Z11" s="2" t="s">
        <v>61</v>
      </c>
    </row>
    <row r="12" spans="1:29" x14ac:dyDescent="0.2">
      <c r="A12" s="75"/>
      <c r="B12" s="43"/>
      <c r="C12" s="44"/>
      <c r="D12" s="44"/>
      <c r="E12" s="44"/>
      <c r="F12" s="45"/>
      <c r="G12" s="140"/>
      <c r="H12" s="43"/>
      <c r="I12" s="44"/>
      <c r="J12" s="44"/>
      <c r="K12" s="44"/>
      <c r="L12" s="44"/>
      <c r="M12" s="44"/>
      <c r="N12" s="44"/>
      <c r="O12" s="45"/>
      <c r="P12" s="76"/>
      <c r="Q12" s="34"/>
      <c r="R12" s="2" t="s">
        <v>167</v>
      </c>
      <c r="S12" s="77">
        <f>130.91941/S15</f>
        <v>1.3092274853008752</v>
      </c>
      <c r="T12" s="78">
        <f>0.0008/S15</f>
        <v>8.0002040052021335E-6</v>
      </c>
      <c r="U12" s="2" t="s">
        <v>184</v>
      </c>
      <c r="V12" s="79">
        <f>C27*S15</f>
        <v>261.88413011405157</v>
      </c>
      <c r="W12" s="80">
        <f t="shared" ref="W12:W19" si="0">T12*V12</f>
        <v>2.0951264666373122E-3</v>
      </c>
      <c r="Z12" s="2">
        <f t="shared" ref="Z12:Z19" si="1">W12^2</f>
        <v>4.3895549112041484E-6</v>
      </c>
    </row>
    <row r="13" spans="1:29" x14ac:dyDescent="0.2">
      <c r="A13" s="75"/>
      <c r="B13" s="81" t="s">
        <v>21</v>
      </c>
      <c r="C13" s="34"/>
      <c r="D13" s="34"/>
      <c r="E13" s="34"/>
      <c r="F13" s="47"/>
      <c r="G13" s="140"/>
      <c r="H13" s="46"/>
      <c r="I13" s="34" t="s">
        <v>62</v>
      </c>
      <c r="J13" s="34"/>
      <c r="K13" s="34"/>
      <c r="L13" s="34"/>
      <c r="M13" s="34"/>
      <c r="N13" s="34"/>
      <c r="O13" s="47"/>
      <c r="P13" s="76"/>
      <c r="Q13" s="34"/>
      <c r="R13" s="2" t="s">
        <v>171</v>
      </c>
      <c r="S13" s="82">
        <v>0</v>
      </c>
      <c r="T13" s="78">
        <f>0.00036/S15</f>
        <v>3.6000918023409597E-6</v>
      </c>
      <c r="U13" s="2" t="s">
        <v>184</v>
      </c>
      <c r="V13" s="79">
        <f>C27*S15</f>
        <v>261.88413011405157</v>
      </c>
      <c r="W13" s="80">
        <f t="shared" si="0"/>
        <v>9.4280690998679037E-4</v>
      </c>
      <c r="Z13" s="2">
        <f t="shared" si="1"/>
        <v>8.888848695188398E-7</v>
      </c>
      <c r="AB13" s="1" t="s">
        <v>117</v>
      </c>
    </row>
    <row r="14" spans="1:29" x14ac:dyDescent="0.2">
      <c r="A14" s="75"/>
      <c r="B14" s="46"/>
      <c r="C14" s="34"/>
      <c r="D14" s="34"/>
      <c r="E14" s="34"/>
      <c r="F14" s="47"/>
      <c r="G14" s="140"/>
      <c r="H14" s="46"/>
      <c r="I14" s="34"/>
      <c r="J14" s="34"/>
      <c r="K14" s="34"/>
      <c r="L14" s="34"/>
      <c r="M14" s="34"/>
      <c r="N14" s="34"/>
      <c r="O14" s="47"/>
      <c r="P14" s="76"/>
      <c r="Q14" s="34"/>
      <c r="R14" s="2" t="s">
        <v>168</v>
      </c>
      <c r="S14" s="82">
        <v>0</v>
      </c>
      <c r="T14" s="78">
        <f>0.0004/(SQRT(3)*S15)</f>
        <v>2.3094599679876868E-6</v>
      </c>
      <c r="U14" s="2" t="s">
        <v>185</v>
      </c>
      <c r="V14" s="79">
        <f>C27*S15</f>
        <v>261.88413011405157</v>
      </c>
      <c r="W14" s="80">
        <f t="shared" si="0"/>
        <v>6.0481091474968074E-4</v>
      </c>
      <c r="Z14" s="2">
        <f t="shared" si="1"/>
        <v>3.6579624260034559E-7</v>
      </c>
    </row>
    <row r="15" spans="1:29" ht="16" x14ac:dyDescent="0.2">
      <c r="A15" s="75"/>
      <c r="B15" s="46" t="s">
        <v>21</v>
      </c>
      <c r="C15" s="34" t="s">
        <v>63</v>
      </c>
      <c r="D15" s="34" t="s">
        <v>64</v>
      </c>
      <c r="E15" s="34" t="s">
        <v>65</v>
      </c>
      <c r="F15" s="47"/>
      <c r="G15" s="140"/>
      <c r="H15" s="46"/>
      <c r="I15" s="34" t="s">
        <v>66</v>
      </c>
      <c r="J15" s="34" t="s">
        <v>67</v>
      </c>
      <c r="K15" s="34" t="s">
        <v>68</v>
      </c>
      <c r="L15" s="34" t="s">
        <v>69</v>
      </c>
      <c r="M15" s="34" t="s">
        <v>59</v>
      </c>
      <c r="N15" s="34" t="s">
        <v>70</v>
      </c>
      <c r="O15" s="47"/>
      <c r="P15" s="76"/>
      <c r="Q15" s="34"/>
      <c r="R15" s="2" t="s">
        <v>172</v>
      </c>
      <c r="S15" s="83">
        <v>99.997450000000001</v>
      </c>
      <c r="T15" s="84">
        <v>1.5E-3</v>
      </c>
      <c r="U15" s="2" t="s">
        <v>184</v>
      </c>
      <c r="V15" s="80">
        <f>C27*S12</f>
        <v>3.4287464441285951</v>
      </c>
      <c r="W15" s="80">
        <f t="shared" si="0"/>
        <v>5.1431196661928923E-3</v>
      </c>
      <c r="Z15" s="2">
        <f t="shared" si="1"/>
        <v>2.6451679900780087E-5</v>
      </c>
      <c r="AB15">
        <f>1.001*S20</f>
        <v>80.079999716603922</v>
      </c>
      <c r="AC15">
        <f>0.999*S20</f>
        <v>79.919999717170157</v>
      </c>
    </row>
    <row r="16" spans="1:29" x14ac:dyDescent="0.2">
      <c r="A16" s="75"/>
      <c r="B16" s="46" t="s">
        <v>71</v>
      </c>
      <c r="C16" s="85">
        <v>29.791</v>
      </c>
      <c r="D16" s="85">
        <f>1.115984*D18</f>
        <v>111.59706081920001</v>
      </c>
      <c r="E16" s="85">
        <f>0.00004*D18</f>
        <v>3.9999520000000002E-3</v>
      </c>
      <c r="F16" s="47"/>
      <c r="G16" s="140"/>
      <c r="H16" s="46"/>
      <c r="I16" s="34">
        <f>D16/D18</f>
        <v>1.1159840000000001</v>
      </c>
      <c r="J16" s="34">
        <f>(E16^2+I16^2*E18^2)/D18^2</f>
        <v>1.7245450178880949E-9</v>
      </c>
      <c r="K16" s="34">
        <f>SQRT(J16)</f>
        <v>4.1527641612401911E-5</v>
      </c>
      <c r="L16" s="34">
        <f>C16+273.15</f>
        <v>302.94099999999997</v>
      </c>
      <c r="M16" s="86">
        <f>2.78157254+1.64650916*((L16-754.15)/481)^1-0.1371439*((L16-754.15)/481)^2-0.00649767*((L16-754.15)/481)^3-0.00234444*((L16-754.15)/481)^4+0.00511868*((L16-754.15)/481)^5+0.00187982*((L16-754.15)/481)^6-0.00204472*((L16-754.15)/481)^7-0.00046122*((L16-754.15)/481)^8+0.00045724*((L16-754.15)/481)^9</f>
        <v>1.1182432357691166</v>
      </c>
      <c r="N16" s="34">
        <f>I16-1</f>
        <v>0.11598400000000009</v>
      </c>
      <c r="O16" s="47"/>
      <c r="P16" s="76"/>
      <c r="Q16" s="34"/>
      <c r="R16" s="2" t="s">
        <v>72</v>
      </c>
      <c r="S16" s="82">
        <v>0</v>
      </c>
      <c r="T16" s="84">
        <f>0.002/SQRT(3)</f>
        <v>1.1547005383792516E-3</v>
      </c>
      <c r="U16" s="2" t="s">
        <v>185</v>
      </c>
      <c r="V16" s="80">
        <f>C27*S12</f>
        <v>3.4287464441285951</v>
      </c>
      <c r="W16" s="80">
        <f t="shared" si="0"/>
        <v>3.9591753650012329E-3</v>
      </c>
      <c r="Z16" s="2">
        <f t="shared" si="1"/>
        <v>1.5675069570832647E-5</v>
      </c>
      <c r="AB16" s="87">
        <f>100*(1+0.0039083*AB15-0.0000005775*AB15^2)</f>
        <v>130.92732672226151</v>
      </c>
      <c r="AC16" s="87">
        <f>100*(1+0.0039083*AC15-0.0000005775*AC15^2)</f>
        <v>130.86627232247235</v>
      </c>
    </row>
    <row r="17" spans="1:29" x14ac:dyDescent="0.2">
      <c r="A17" s="75"/>
      <c r="B17" s="46" t="s">
        <v>73</v>
      </c>
      <c r="C17" s="85">
        <v>156.745</v>
      </c>
      <c r="D17" s="85">
        <f>1.598813*D18</f>
        <v>159.87938142440001</v>
      </c>
      <c r="E17" s="85">
        <f>0.00006*D18</f>
        <v>5.9999280000000007E-3</v>
      </c>
      <c r="F17" s="47"/>
      <c r="G17" s="140"/>
      <c r="H17" s="46"/>
      <c r="I17" s="34">
        <f>D17/D18</f>
        <v>1.598813</v>
      </c>
      <c r="J17" s="34">
        <f>(E17^2+I17^2*E18^2)/D18^2</f>
        <v>3.8556264358945514E-9</v>
      </c>
      <c r="K17" s="34">
        <f>SQRT(J17)</f>
        <v>6.2093690789761822E-5</v>
      </c>
      <c r="L17" s="34">
        <f>C17+273.15</f>
        <v>429.89499999999998</v>
      </c>
      <c r="M17" s="86">
        <f>2.78157254+1.64650916*((L17-754.15)/481)^1-0.1371439*((L17-754.15)/481)^2-0.00649767*((L17-754.15)/481)^3-0.00234444*((L17-754.15)/481)^4+0.00511868*((L17-754.15)/481)^5+0.00187982*((L17-754.15)/481)^6-0.00204472*((L17-754.15)/481)^7-0.00046122*((L17-754.15)/481)^8+0.00045724*((L17-754.15)/481)^9</f>
        <v>1.6103586854311793</v>
      </c>
      <c r="N17" s="34">
        <f>I17-1</f>
        <v>0.59881300000000004</v>
      </c>
      <c r="O17" s="47"/>
      <c r="P17" s="76"/>
      <c r="Q17" s="34"/>
      <c r="R17" s="2" t="s">
        <v>178</v>
      </c>
      <c r="S17" s="82">
        <v>0</v>
      </c>
      <c r="T17" s="84">
        <f>C26</f>
        <v>2.9117885591842054E-2</v>
      </c>
      <c r="U17" s="2" t="s">
        <v>184</v>
      </c>
      <c r="V17" s="88">
        <v>1</v>
      </c>
      <c r="W17" s="80">
        <f t="shared" si="0"/>
        <v>2.9117885591842054E-2</v>
      </c>
      <c r="Z17" s="2">
        <f t="shared" si="1"/>
        <v>8.4785126133960311E-4</v>
      </c>
      <c r="AC17">
        <f>(AB16-AC16)/(AB15-AC15)</f>
        <v>0.38159000003266508</v>
      </c>
    </row>
    <row r="18" spans="1:29" x14ac:dyDescent="0.2">
      <c r="A18" s="75"/>
      <c r="B18" s="46" t="s">
        <v>74</v>
      </c>
      <c r="C18" s="34">
        <v>0.01</v>
      </c>
      <c r="D18" s="85">
        <v>99.998800000000003</v>
      </c>
      <c r="E18" s="85">
        <v>1E-3</v>
      </c>
      <c r="F18" s="47"/>
      <c r="G18" s="140"/>
      <c r="H18" s="46"/>
      <c r="I18" s="34">
        <v>1</v>
      </c>
      <c r="J18" s="34">
        <f>2*E18^2/D18^2</f>
        <v>2.0000480008640135E-10</v>
      </c>
      <c r="K18" s="34">
        <f>SQRT(J18)</f>
        <v>1.4142305331394926E-5</v>
      </c>
      <c r="L18" s="34"/>
      <c r="M18" s="34"/>
      <c r="N18" s="34"/>
      <c r="O18" s="47"/>
      <c r="P18" s="76"/>
      <c r="Q18" s="34"/>
      <c r="R18" s="2" t="s">
        <v>175</v>
      </c>
      <c r="S18" s="89">
        <v>0</v>
      </c>
      <c r="T18" s="84">
        <f>0.005</f>
        <v>5.0000000000000001E-3</v>
      </c>
      <c r="U18" s="2" t="s">
        <v>184</v>
      </c>
      <c r="V18" s="88">
        <f>1</f>
        <v>1</v>
      </c>
      <c r="W18" s="80">
        <f t="shared" si="0"/>
        <v>5.0000000000000001E-3</v>
      </c>
      <c r="Z18" s="2">
        <f t="shared" si="1"/>
        <v>2.5000000000000001E-5</v>
      </c>
      <c r="AC18" t="s">
        <v>21</v>
      </c>
    </row>
    <row r="19" spans="1:29" x14ac:dyDescent="0.2">
      <c r="A19" s="75"/>
      <c r="B19" s="46" t="s">
        <v>53</v>
      </c>
      <c r="C19" s="90">
        <v>-1.9278300000000002E-2</v>
      </c>
      <c r="D19" s="34"/>
      <c r="E19" s="34"/>
      <c r="F19" s="47"/>
      <c r="G19" s="140"/>
      <c r="H19" s="46"/>
      <c r="I19" s="34"/>
      <c r="J19" s="34"/>
      <c r="K19" s="34"/>
      <c r="L19" s="34"/>
      <c r="M19" s="34"/>
      <c r="N19" s="34"/>
      <c r="O19" s="47"/>
      <c r="P19" s="76"/>
      <c r="Q19" s="34"/>
      <c r="R19" s="2" t="s">
        <v>176</v>
      </c>
      <c r="S19" s="89">
        <v>0</v>
      </c>
      <c r="T19" s="84">
        <f>0.003</f>
        <v>3.0000000000000001E-3</v>
      </c>
      <c r="U19" s="2" t="s">
        <v>184</v>
      </c>
      <c r="V19" s="88">
        <f>1</f>
        <v>1</v>
      </c>
      <c r="W19" s="80">
        <f t="shared" si="0"/>
        <v>3.0000000000000001E-3</v>
      </c>
      <c r="Z19" s="2">
        <f t="shared" si="1"/>
        <v>9.0000000000000002E-6</v>
      </c>
    </row>
    <row r="20" spans="1:29" ht="16" x14ac:dyDescent="0.2">
      <c r="A20" s="75"/>
      <c r="B20" s="46" t="s">
        <v>54</v>
      </c>
      <c r="C20" s="91">
        <v>0</v>
      </c>
      <c r="D20" s="34"/>
      <c r="E20" s="34"/>
      <c r="F20" s="47"/>
      <c r="G20" s="140"/>
      <c r="H20" s="46"/>
      <c r="I20" s="34" t="s">
        <v>75</v>
      </c>
      <c r="J20" s="34"/>
      <c r="K20" s="34" t="s">
        <v>76</v>
      </c>
      <c r="L20" s="34" t="s">
        <v>24</v>
      </c>
      <c r="M20" s="34" t="s">
        <v>77</v>
      </c>
      <c r="N20" s="34"/>
      <c r="O20" s="47"/>
      <c r="P20" s="76"/>
      <c r="Q20" s="34"/>
      <c r="R20" s="2" t="s">
        <v>177</v>
      </c>
      <c r="S20" s="92">
        <f>C25</f>
        <v>79.999999716887046</v>
      </c>
      <c r="T20" s="93"/>
      <c r="V20" s="80" t="s">
        <v>78</v>
      </c>
      <c r="W20" s="94">
        <f>SQRT(SUM(Z12:Z19))</f>
        <v>3.0489707227760308E-2</v>
      </c>
    </row>
    <row r="21" spans="1:29" x14ac:dyDescent="0.2">
      <c r="A21" s="75"/>
      <c r="B21" s="46" t="s">
        <v>79</v>
      </c>
      <c r="C21" s="85">
        <v>0</v>
      </c>
      <c r="D21" s="34"/>
      <c r="E21" s="34"/>
      <c r="F21" s="47"/>
      <c r="G21" s="140"/>
      <c r="H21" s="46"/>
      <c r="I21" s="34">
        <f>I16-M16</f>
        <v>-2.2592357691164633E-3</v>
      </c>
      <c r="J21" s="34">
        <f>(N17-N16)*N16*N17</f>
        <v>3.353379072082039E-2</v>
      </c>
      <c r="K21" s="34">
        <f>M16-1</f>
        <v>0.11824323576911655</v>
      </c>
      <c r="L21" s="34">
        <f>(L25*K22^2-L25^2*K22)/J22</f>
        <v>1.5988259698172993</v>
      </c>
      <c r="M21" s="34">
        <f>L21^2</f>
        <v>2.5562444817622278</v>
      </c>
      <c r="N21" s="34">
        <f>M21*J16</f>
        <v>4.4083586855269853E-9</v>
      </c>
      <c r="O21" s="47"/>
      <c r="P21" s="76"/>
      <c r="Q21" s="34"/>
      <c r="T21" s="93"/>
    </row>
    <row r="22" spans="1:29" x14ac:dyDescent="0.2">
      <c r="A22" s="75"/>
      <c r="B22" s="46"/>
      <c r="C22" s="34"/>
      <c r="D22" s="34"/>
      <c r="E22" s="34"/>
      <c r="F22" s="47"/>
      <c r="G22" s="140"/>
      <c r="H22" s="46"/>
      <c r="I22" s="34">
        <f>I17-M17</f>
        <v>-1.1545685431179287E-2</v>
      </c>
      <c r="J22" s="34">
        <f>(K22-K21)*K22*K21</f>
        <v>3.5516358777870329E-2</v>
      </c>
      <c r="K22" s="34">
        <f>M17-1</f>
        <v>0.61035868543117933</v>
      </c>
      <c r="L22" s="34">
        <f>(L25*K21^2-L25^2*K21)/J22</f>
        <v>-0.20663340575851838</v>
      </c>
      <c r="M22" s="34">
        <f>L22^2</f>
        <v>4.2697364375364498E-2</v>
      </c>
      <c r="N22" s="34">
        <f>M22*J17</f>
        <v>1.646250868286776E-10</v>
      </c>
      <c r="O22" s="47"/>
      <c r="P22" s="76"/>
      <c r="Q22" s="34"/>
      <c r="R22" s="2" t="s">
        <v>179</v>
      </c>
      <c r="S22" s="95">
        <f>100*(1+0.0039083*S20-0.0000005775*S20^2)</f>
        <v>130.89679989196691</v>
      </c>
      <c r="T22" s="96">
        <f>W20*AC17</f>
        <v>1.1634567382037005E-2</v>
      </c>
      <c r="U22" s="2" t="s">
        <v>184</v>
      </c>
      <c r="V22" s="2">
        <v>1</v>
      </c>
      <c r="W22" s="80">
        <f t="shared" ref="W22:W28" si="2">T22*V22</f>
        <v>1.1634567382037005E-2</v>
      </c>
      <c r="Z22" s="2">
        <f t="shared" ref="Z22:Z28" si="3">W22^2</f>
        <v>1.3536315816715941E-4</v>
      </c>
      <c r="AA22" s="97" t="s">
        <v>21</v>
      </c>
    </row>
    <row r="23" spans="1:29" x14ac:dyDescent="0.2">
      <c r="A23" s="75"/>
      <c r="B23" s="46" t="s">
        <v>80</v>
      </c>
      <c r="C23" s="98">
        <f>S12*S15</f>
        <v>130.91941</v>
      </c>
      <c r="D23" s="34"/>
      <c r="E23" s="34"/>
      <c r="F23" s="47"/>
      <c r="G23" s="140"/>
      <c r="H23" s="46"/>
      <c r="I23" s="34"/>
      <c r="J23" s="34"/>
      <c r="K23" s="34"/>
      <c r="L23" s="34">
        <f>1-L21-L22</f>
        <v>-0.39219256405878089</v>
      </c>
      <c r="M23" s="34">
        <f>L23^2</f>
        <v>0.15381500730300096</v>
      </c>
      <c r="N23" s="34">
        <f>M23*J18</f>
        <v>3.0763739785925069E-11</v>
      </c>
      <c r="O23" s="47"/>
      <c r="P23" s="76"/>
      <c r="Q23" s="34"/>
      <c r="R23" s="2" t="s">
        <v>169</v>
      </c>
      <c r="S23" s="77">
        <f>130.9097/S26</f>
        <v>1.3091303828247618</v>
      </c>
      <c r="T23" s="78">
        <f>0.0015/S26</f>
        <v>1.5000382509753999E-5</v>
      </c>
      <c r="U23" s="2" t="s">
        <v>184</v>
      </c>
      <c r="V23" s="79">
        <f>S26</f>
        <v>99.997450000000001</v>
      </c>
      <c r="W23" s="80">
        <f t="shared" si="2"/>
        <v>1.5E-3</v>
      </c>
      <c r="Z23" s="2">
        <f t="shared" si="3"/>
        <v>2.2500000000000001E-6</v>
      </c>
    </row>
    <row r="24" spans="1:29" ht="16" x14ac:dyDescent="0.2">
      <c r="A24" s="75"/>
      <c r="B24" s="46" t="s">
        <v>81</v>
      </c>
      <c r="C24" s="85">
        <v>0</v>
      </c>
      <c r="D24" s="34"/>
      <c r="E24" s="34"/>
      <c r="F24" s="47"/>
      <c r="G24" s="140"/>
      <c r="H24" s="46"/>
      <c r="I24" s="34" t="s">
        <v>82</v>
      </c>
      <c r="J24" s="34">
        <f>((I21*N17^2)-(I22*N16^2))/J21</f>
        <v>-1.9526397166476289E-2</v>
      </c>
      <c r="K24" s="34" t="s">
        <v>83</v>
      </c>
      <c r="L24" s="34">
        <f>J29-$C$19*J30-($C$20*J30^2)-($C$21*J30^3)</f>
        <v>1.3151708500078301</v>
      </c>
      <c r="M24" s="34"/>
      <c r="N24" s="99">
        <f>SUM(N21:N23)</f>
        <v>4.6037475121415886E-9</v>
      </c>
      <c r="O24" s="100" t="s">
        <v>84</v>
      </c>
      <c r="P24" s="76"/>
      <c r="Q24" s="34"/>
      <c r="R24" s="2" t="s">
        <v>173</v>
      </c>
      <c r="S24" s="82">
        <v>0</v>
      </c>
      <c r="T24" s="78">
        <f>0.00036/S26</f>
        <v>3.6000918023409597E-6</v>
      </c>
      <c r="U24" s="2" t="s">
        <v>184</v>
      </c>
      <c r="V24" s="79">
        <f>S26</f>
        <v>99.997450000000001</v>
      </c>
      <c r="W24" s="80">
        <f t="shared" si="2"/>
        <v>3.6000000000000002E-4</v>
      </c>
      <c r="Z24" s="2">
        <f t="shared" si="3"/>
        <v>1.2960000000000002E-7</v>
      </c>
    </row>
    <row r="25" spans="1:29" ht="16" x14ac:dyDescent="0.2">
      <c r="A25" s="75"/>
      <c r="B25" s="101" t="s">
        <v>57</v>
      </c>
      <c r="C25" s="102">
        <f>439.932854+472.41802*((L24-2.64)/1.64)^1+37.684494*((L24-2.64)/1.64)^2+7.472018*((L24-2.64)/1.64)^3+2.920828*((L24-2.64)/1.64)^4+0.005184*((L24-2.64)/1.64)^5-0.963864*((L24-2.64)/1.64)^6-0.188732*((L24-2.64)/1.64)^7+0.191203*((L24-2.64)/1.64)^8+0.049025*((L24-2.64)/1.64)^9</f>
        <v>79.999999716887046</v>
      </c>
      <c r="D25" s="34"/>
      <c r="E25" s="34"/>
      <c r="F25" s="47"/>
      <c r="G25" s="140"/>
      <c r="H25" s="46"/>
      <c r="I25" s="34" t="s">
        <v>85</v>
      </c>
      <c r="J25" s="34">
        <f>(I22*N16-I21*N17)/J21</f>
        <v>4.0988415763874478E-4</v>
      </c>
      <c r="K25" s="34" t="s">
        <v>86</v>
      </c>
      <c r="L25" s="34">
        <f>L24-1</f>
        <v>0.31517085000783007</v>
      </c>
      <c r="M25" s="34"/>
      <c r="N25" s="99">
        <f>(C24^2+J29^2*E18^2)/D18^2</f>
        <v>1.714071465424204E-10</v>
      </c>
      <c r="O25" s="100" t="s">
        <v>67</v>
      </c>
      <c r="P25" s="76"/>
      <c r="Q25" s="34"/>
      <c r="R25" s="2" t="s">
        <v>170</v>
      </c>
      <c r="S25" s="82">
        <v>0</v>
      </c>
      <c r="T25" s="78">
        <f>0.0004/(SQRT(3)*S26)</f>
        <v>2.3094599679876868E-6</v>
      </c>
      <c r="U25" s="2" t="s">
        <v>185</v>
      </c>
      <c r="V25" s="79">
        <f>S26</f>
        <v>99.997450000000001</v>
      </c>
      <c r="W25" s="80">
        <f t="shared" si="2"/>
        <v>2.3094010767585031E-4</v>
      </c>
      <c r="Z25" s="2">
        <f t="shared" si="3"/>
        <v>5.3333333333333334E-8</v>
      </c>
    </row>
    <row r="26" spans="1:29" ht="16" x14ac:dyDescent="0.2">
      <c r="A26" s="75"/>
      <c r="B26" s="101" t="s">
        <v>87</v>
      </c>
      <c r="C26" s="99">
        <f>N28*N27</f>
        <v>2.9117885591842054E-2</v>
      </c>
      <c r="D26" s="34"/>
      <c r="E26" s="34"/>
      <c r="F26" s="47"/>
      <c r="G26" s="140"/>
      <c r="H26" s="46"/>
      <c r="I26" s="34"/>
      <c r="J26" s="103" t="s">
        <v>21</v>
      </c>
      <c r="K26" s="103">
        <f>439.932854+472.41802*((K28-2.64)/1.64)^1+37.684494*((K28-2.64)/1.64)^2+7.472018*((K28-2.64)/1.64)^3+2.920828*((K28-2.64)/1.64)^4+0.005184*((K28-2.64)/1.64)^5-0.963864*((K28-2.64)/1.64)^6-0.188732*((K28-2.64)/1.64)^7+0.191203*((K28-2.64)/1.64)^8+0.049025*((K28-2.64)/1.64)^9</f>
        <v>80.026188903111816</v>
      </c>
      <c r="L26" s="103">
        <f>439.932854+472.41802*((L28-2.64)/1.64)^1+37.684494*((L28-2.64)/1.64)^2+7.472018*((L28-2.64)/1.64)^3+2.920828*((L28-2.64)/1.64)^4+0.005184*((L28-2.64)/1.64)^5-0.963864*((L28-2.64)/1.64)^6-0.188732*((L28-2.64)/1.64)^7+0.191203*((L28-2.64)/1.64)^8+0.049025*((L28-2.64)/1.64)^9</f>
        <v>79.973810741445931</v>
      </c>
      <c r="M26" s="34"/>
      <c r="N26" s="99">
        <f>N24+N25</f>
        <v>4.7751546586840087E-9</v>
      </c>
      <c r="O26" s="100" t="s">
        <v>88</v>
      </c>
      <c r="P26" s="76"/>
      <c r="Q26" s="34"/>
      <c r="R26" s="2" t="s">
        <v>174</v>
      </c>
      <c r="S26" s="104">
        <v>99.997450000000001</v>
      </c>
      <c r="T26" s="84">
        <v>1.5E-3</v>
      </c>
      <c r="U26" s="2" t="s">
        <v>184</v>
      </c>
      <c r="V26" s="80">
        <f>S23</f>
        <v>1.3091303828247618</v>
      </c>
      <c r="W26" s="80">
        <f t="shared" si="2"/>
        <v>1.9636955742371428E-3</v>
      </c>
      <c r="Z26" s="2">
        <f t="shared" si="3"/>
        <v>3.8561003082785418E-6</v>
      </c>
    </row>
    <row r="27" spans="1:29" ht="16" x14ac:dyDescent="0.2">
      <c r="A27" s="75"/>
      <c r="B27" s="105" t="s">
        <v>89</v>
      </c>
      <c r="C27" s="99">
        <f>(K26-L26)/(K27-L27)</f>
        <v>2.61890808329664</v>
      </c>
      <c r="D27" s="34"/>
      <c r="E27" s="34"/>
      <c r="F27" s="47"/>
      <c r="G27" s="140"/>
      <c r="H27" s="46"/>
      <c r="I27" s="34"/>
      <c r="J27" s="103"/>
      <c r="K27" s="34">
        <f>C23+0.01</f>
        <v>130.92940999999999</v>
      </c>
      <c r="L27" s="34">
        <f>C23-0.01</f>
        <v>130.90941000000001</v>
      </c>
      <c r="M27" s="34"/>
      <c r="N27" s="99">
        <f>SQRT(N26)</f>
        <v>6.9102493867327313E-5</v>
      </c>
      <c r="O27" s="100" t="s">
        <v>90</v>
      </c>
      <c r="P27" s="76"/>
      <c r="Q27" s="34"/>
      <c r="R27" s="2" t="s">
        <v>91</v>
      </c>
      <c r="S27" s="82">
        <v>0</v>
      </c>
      <c r="T27" s="84">
        <f>0.002/SQRT(3)</f>
        <v>1.1547005383792516E-3</v>
      </c>
      <c r="U27" s="2" t="s">
        <v>185</v>
      </c>
      <c r="V27" s="80">
        <f>S23</f>
        <v>1.3091303828247618</v>
      </c>
      <c r="W27" s="80">
        <f t="shared" si="2"/>
        <v>1.5116535578563882E-3</v>
      </c>
      <c r="Z27" s="2">
        <f t="shared" si="3"/>
        <v>2.285096478979877E-6</v>
      </c>
    </row>
    <row r="28" spans="1:29" x14ac:dyDescent="0.2">
      <c r="A28" s="75"/>
      <c r="B28" s="57"/>
      <c r="C28" s="58"/>
      <c r="D28" s="58"/>
      <c r="E28" s="58"/>
      <c r="F28" s="59"/>
      <c r="G28" s="140"/>
      <c r="H28" s="46"/>
      <c r="I28" s="34"/>
      <c r="J28" s="34"/>
      <c r="K28" s="34">
        <f>K29-$C$19*K30-($C$20*K30^2)-($C$21*K30^3)</f>
        <v>1.3152727790609786</v>
      </c>
      <c r="L28" s="34">
        <f>L29-$C$19*L30-($C$20*L30^2)-($C$21*L30^3)</f>
        <v>1.3150689209546815</v>
      </c>
      <c r="M28" s="34">
        <f>L24</f>
        <v>1.3151708500078301</v>
      </c>
      <c r="N28" s="99">
        <f>472.41802+37.684494*2*((M28-2.64)/1.64)^1+7.472018*3*((M28-2.64)/1.64)^2+2.920828*4*((M28-2.64)/1.64)^3+0.005184*5*((M28-2.64)/1.64)^4-0.963864*6*((M28-2.64)/1.64)^5-0.188732*7*((M28-2.64)/1.64)^6+0.191203*8*((M28-2.64)/1.64)^7+0.049025*9*((M28-2.64)/1.64)^8</f>
        <v>421.37242756747196</v>
      </c>
      <c r="O28" s="100" t="s">
        <v>92</v>
      </c>
      <c r="P28" s="76"/>
      <c r="Q28" s="34"/>
      <c r="R28" s="2" t="s">
        <v>180</v>
      </c>
      <c r="S28" s="82">
        <v>0</v>
      </c>
      <c r="T28" s="84">
        <f>0.0002/SQRT(3)</f>
        <v>1.1547005383792517E-4</v>
      </c>
      <c r="U28" s="2" t="s">
        <v>185</v>
      </c>
      <c r="V28" s="2">
        <v>1</v>
      </c>
      <c r="W28" s="80">
        <f t="shared" si="2"/>
        <v>1.1547005383792517E-4</v>
      </c>
      <c r="Z28" s="2">
        <f t="shared" si="3"/>
        <v>1.3333333333333337E-8</v>
      </c>
    </row>
    <row r="29" spans="1:29" x14ac:dyDescent="0.2">
      <c r="A29" s="75"/>
      <c r="B29" s="34"/>
      <c r="C29" s="34"/>
      <c r="D29" s="34"/>
      <c r="E29" s="34"/>
      <c r="F29" s="34"/>
      <c r="G29" s="140"/>
      <c r="H29" s="46"/>
      <c r="I29" s="34" t="s">
        <v>93</v>
      </c>
      <c r="J29" s="34">
        <f>C23/$D$18</f>
        <v>1.3092098105177261</v>
      </c>
      <c r="K29" s="34">
        <f>K27/$D$18</f>
        <v>1.3093098117177404</v>
      </c>
      <c r="L29" s="34">
        <f>L27/$D$18</f>
        <v>1.3091098093177118</v>
      </c>
      <c r="M29" s="34"/>
      <c r="N29" s="34"/>
      <c r="O29" s="47"/>
      <c r="P29" s="76"/>
      <c r="Q29" s="34"/>
      <c r="R29" s="106" t="s">
        <v>181</v>
      </c>
      <c r="S29" s="107">
        <f>S23*S26</f>
        <v>130.90969999999999</v>
      </c>
      <c r="V29" s="2" t="s">
        <v>94</v>
      </c>
      <c r="W29" s="108">
        <f>SQRT(SUM(Z22:Z28))</f>
        <v>1.1997942391138763E-2</v>
      </c>
    </row>
    <row r="30" spans="1:29" x14ac:dyDescent="0.2">
      <c r="A30" s="75"/>
      <c r="B30" s="34"/>
      <c r="C30" s="34"/>
      <c r="D30" s="34"/>
      <c r="E30" s="34"/>
      <c r="F30" s="34"/>
      <c r="G30" s="140"/>
      <c r="H30" s="46"/>
      <c r="I30" s="34" t="s">
        <v>95</v>
      </c>
      <c r="J30" s="34">
        <f>J29-1</f>
        <v>0.30920981051772611</v>
      </c>
      <c r="K30" s="34">
        <f>K29-1</f>
        <v>0.30930981171774041</v>
      </c>
      <c r="L30" s="34">
        <f>L29-1</f>
        <v>0.30910980931771181</v>
      </c>
      <c r="M30" s="34"/>
      <c r="N30" s="34"/>
      <c r="O30" s="47"/>
      <c r="P30" s="76"/>
      <c r="Q30" s="34"/>
      <c r="R30" s="2" t="s">
        <v>182</v>
      </c>
      <c r="S30" s="109">
        <f>S29-S22</f>
        <v>1.2900108033079505E-2</v>
      </c>
      <c r="V30" s="2" t="s">
        <v>38</v>
      </c>
      <c r="W30" s="56">
        <f>2*W29</f>
        <v>2.3995884782277526E-2</v>
      </c>
    </row>
    <row r="31" spans="1:29" x14ac:dyDescent="0.2">
      <c r="A31" s="75"/>
      <c r="B31" s="34"/>
      <c r="C31" s="34"/>
      <c r="D31" s="34"/>
      <c r="E31" s="34"/>
      <c r="F31" s="34"/>
      <c r="G31" s="140"/>
      <c r="H31" s="57"/>
      <c r="I31" s="58"/>
      <c r="J31" s="58"/>
      <c r="K31" s="58"/>
      <c r="L31" s="58"/>
      <c r="M31" s="58"/>
      <c r="N31" s="58"/>
      <c r="O31" s="59"/>
      <c r="P31" s="76"/>
      <c r="Q31" s="34"/>
    </row>
    <row r="32" spans="1:29" ht="16" x14ac:dyDescent="0.2">
      <c r="A32" s="110"/>
      <c r="B32" s="111"/>
      <c r="C32" s="111"/>
      <c r="D32" s="111"/>
      <c r="E32" s="111"/>
      <c r="F32" s="111"/>
      <c r="G32" s="141"/>
      <c r="H32" s="111"/>
      <c r="I32" s="111"/>
      <c r="J32" s="111"/>
      <c r="K32" s="111"/>
      <c r="L32" s="111"/>
      <c r="M32" s="111"/>
      <c r="N32" s="111"/>
      <c r="O32" s="111"/>
      <c r="P32" s="112"/>
      <c r="Q32" s="34"/>
      <c r="R32" t="s">
        <v>96</v>
      </c>
      <c r="V32" s="2" t="s">
        <v>97</v>
      </c>
      <c r="W32" s="56">
        <f>W29*C27</f>
        <v>3.1421508311080724E-2</v>
      </c>
      <c r="X32" s="143">
        <f>W29/AC17</f>
        <v>3.1441972772115905E-2</v>
      </c>
      <c r="Y32" s="145" t="s">
        <v>118</v>
      </c>
    </row>
    <row r="33" spans="14:25" x14ac:dyDescent="0.2">
      <c r="R33" s="49" t="s">
        <v>186</v>
      </c>
      <c r="V33" s="2" t="s">
        <v>38</v>
      </c>
      <c r="W33" s="56">
        <f>2*W32</f>
        <v>6.2843016622161449E-2</v>
      </c>
      <c r="X33" s="143">
        <f>2*X32</f>
        <v>6.2883945544231809E-2</v>
      </c>
      <c r="Y33" s="145" t="s">
        <v>119</v>
      </c>
    </row>
    <row r="34" spans="14:25" x14ac:dyDescent="0.2">
      <c r="N34" t="s">
        <v>21</v>
      </c>
      <c r="R34" s="113" t="s">
        <v>187</v>
      </c>
    </row>
    <row r="35" spans="14:25" x14ac:dyDescent="0.2">
      <c r="R35" s="64" t="s">
        <v>188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Nejistota typu A</vt:lpstr>
      <vt:lpstr>Opakovatelnost, reprodukovateln</vt:lpstr>
      <vt:lpstr>Citlivostní koeficienty</vt:lpstr>
      <vt:lpstr>Rozdělení pravděpodobnosti</vt:lpstr>
      <vt:lpstr>Drobnosti 1</vt:lpstr>
      <vt:lpstr>Drobnosti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Honig</dc:creator>
  <cp:lastModifiedBy>Microsoft Office User</cp:lastModifiedBy>
  <dcterms:created xsi:type="dcterms:W3CDTF">2014-12-08T18:21:31Z</dcterms:created>
  <dcterms:modified xsi:type="dcterms:W3CDTF">2017-10-29T16:43:18Z</dcterms:modified>
</cp:coreProperties>
</file>